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0ZSt36i3Z1/wb3xhLRDT3j9K+iWmLuNiCO3k/dkWOvHths+GCVr2Px8OvNrb+X1iVa5rGX3FabssZNuc8r84aw==" workbookSaltValue="cjo+mpAy0w6cGY6lHNWHS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BM19" i="8"/>
  <c r="BK19" i="8"/>
  <c r="EP19" i="8"/>
  <c r="AL13" i="16"/>
  <c r="AJ13" i="16"/>
  <c r="S13" i="16"/>
  <c r="H18" i="16"/>
  <c r="BN18" i="16"/>
  <c r="P13" i="16"/>
  <c r="AM13" i="20"/>
  <c r="AN13" i="20"/>
  <c r="AT17" i="20"/>
  <c r="Z13" i="17"/>
  <c r="M13" i="2"/>
  <c r="T13" i="12"/>
  <c r="T13" i="20"/>
  <c r="BD9" i="8"/>
  <c r="T13" i="16"/>
  <c r="AP13" i="16"/>
  <c r="F15" i="16"/>
  <c r="BL15" i="16" s="1"/>
  <c r="T18" i="17"/>
  <c r="BF15" i="13"/>
  <c r="BA18" i="13"/>
  <c r="G18" i="14"/>
  <c r="AO20" i="20"/>
  <c r="AN20" i="20"/>
  <c r="AM20" i="20"/>
  <c r="P20" i="20"/>
  <c r="W20" i="20"/>
  <c r="U16" i="11"/>
  <c r="AI20" i="20"/>
  <c r="AF20" i="20"/>
  <c r="AX20" i="20"/>
  <c r="AZ20" i="20"/>
  <c r="AG20" i="20"/>
  <c r="AC20" i="20"/>
  <c r="Q20" i="20"/>
  <c r="U10" i="11"/>
  <c r="Z20" i="20"/>
  <c r="AA20" i="20"/>
  <c r="M20" i="20"/>
  <c r="F20" i="20"/>
  <c r="O20" i="20"/>
  <c r="AU20" i="20"/>
  <c r="W20" i="21"/>
  <c r="X20" i="20"/>
  <c r="AH20" i="20"/>
  <c r="H20" i="20"/>
  <c r="E20" i="20"/>
  <c r="I20" i="20"/>
  <c r="K20" i="20"/>
  <c r="N20" i="20"/>
  <c r="AQ20" i="20"/>
  <c r="U12" i="11"/>
  <c r="AK20" i="20"/>
  <c r="L20" i="20"/>
  <c r="AQ20" i="21"/>
  <c r="AM19" i="8" l="1"/>
  <c r="AC19" i="8"/>
  <c r="AK19" i="8"/>
  <c r="AA19" i="8"/>
  <c r="AI19" i="8"/>
  <c r="C12" i="14"/>
  <c r="K12" i="14" s="1"/>
  <c r="T19" i="8"/>
  <c r="BG12" i="8"/>
  <c r="R19" i="8"/>
  <c r="BG10" i="8"/>
  <c r="N13" i="2"/>
  <c r="H9" i="7"/>
  <c r="F17" i="17"/>
  <c r="AQ17" i="17" s="1"/>
  <c r="F17" i="16"/>
  <c r="BL17" i="16" s="1"/>
  <c r="BG16" i="13"/>
  <c r="BD16" i="13"/>
  <c r="BE15" i="13"/>
  <c r="BE16" i="13"/>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K12"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S20" i="20"/>
  <c r="AL20" i="20"/>
  <c r="Y20" i="20"/>
  <c r="AE20" i="20"/>
  <c r="G13" i="14"/>
  <c r="AP20" i="20"/>
  <c r="T20" i="21"/>
  <c r="AD20" i="20"/>
  <c r="J20" i="20"/>
  <c r="R20" i="20"/>
  <c r="AJ20" i="20"/>
  <c r="T20" i="20"/>
  <c r="J12" i="12" l="1"/>
  <c r="BK13" i="1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Q12" i="11" l="1"/>
  <c r="AA19" i="1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C20" i="21"/>
  <c r="F20" i="17"/>
  <c r="AR20" i="16"/>
  <c r="M20" i="16"/>
  <c r="AD20" i="11"/>
  <c r="AG20" i="16"/>
  <c r="S20" i="11"/>
  <c r="R20" i="16"/>
  <c r="E20" i="12"/>
  <c r="H20" i="12"/>
  <c r="Z20" i="17"/>
  <c r="AB20" i="11"/>
  <c r="BM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J20" i="21"/>
  <c r="P20" i="17"/>
  <c r="J20" i="21"/>
  <c r="AO20" i="21"/>
  <c r="K20" i="21"/>
  <c r="Z20" i="16"/>
  <c r="AY20" i="16"/>
  <c r="AS20" i="17"/>
  <c r="AV20" i="16"/>
  <c r="T20" i="11"/>
  <c r="AN20" i="11"/>
  <c r="BE20" i="16"/>
  <c r="AT20" i="16"/>
  <c r="AD20" i="21"/>
  <c r="AW20" i="21"/>
  <c r="N20" i="21"/>
  <c r="AN20" i="17"/>
  <c r="U20" i="17"/>
  <c r="V20" i="21"/>
  <c r="W20" i="16"/>
  <c r="AO20" i="17"/>
  <c r="M20" i="17"/>
  <c r="AN20" i="21"/>
  <c r="AK20" i="17"/>
  <c r="H20" i="21"/>
  <c r="X20" i="16"/>
  <c r="AW20" i="16"/>
  <c r="S20" i="17"/>
  <c r="AJ20" i="11"/>
  <c r="AL20" i="11"/>
  <c r="P20" i="21"/>
  <c r="H20" i="16"/>
  <c r="AJ20" i="17"/>
  <c r="V20" i="17"/>
  <c r="E20" i="16"/>
  <c r="AG20" i="17"/>
  <c r="AM20" i="21"/>
  <c r="N20" i="11"/>
  <c r="Y20" i="16"/>
  <c r="AZ20" i="11"/>
  <c r="AS20" i="11"/>
  <c r="Y20" i="21"/>
  <c r="O12" i="11"/>
  <c r="BF20" i="16"/>
  <c r="AZ20" i="16"/>
  <c r="Y20" i="11"/>
  <c r="BD19" i="8" l="1"/>
  <c r="F21" i="11"/>
  <c r="AT20" i="21"/>
  <c r="AQ20" i="17"/>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<sst xmlns="http://schemas.openxmlformats.org/spreadsheetml/2006/main" count="2094" uniqueCount="913">
  <si>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</si>
  <si>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</si>
  <si>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</si>
  <si>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</si>
  <si>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</si>
  <si>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</si>
  <si>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</si>
  <si>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</si>
  <si>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</si>
  <si>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</si>
  <si>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</si>
  <si>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</si>
  <si>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</si>
  <si>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</si>
  <si>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</si>
  <si>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</si>
  <si>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</si>
  <si>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</si>
  <si>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</si>
  <si>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</si>
  <si>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</si>
  <si>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</si>
  <si>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</si>
  <si>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</si>
  <si>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</si>
  <si>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</si>
  <si>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</si>
  <si>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</si>
  <si>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</si>
  <si>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</si>
  <si>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</si>
  <si>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</si>
  <si>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</si>
  <si>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</si>
  <si>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</si>
  <si>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</si>
  <si>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</si>
  <si>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</si>
  <si>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</si>
  <si>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</si>
  <si>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</si>
  <si>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</si>
  <si>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</si>
  <si>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</si>
  <si>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</si>
  <si>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</si>
  <si>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</si>
  <si>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</si>
  <si>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</si>
  <si>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</si>
  <si>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</si>
  <si>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</si>
  <si>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</si>
  <si>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</si>
  <si>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</si>
  <si>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</si>
  <si>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</si>
  <si>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</si>
  <si>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</si>
  <si>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</si>
  <si>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</si>
  <si>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</si>
  <si>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</si>
  <si>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</si>
  <si>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</si>
  <si>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</si>
  <si>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</si>
  <si>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</si>
  <si>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</si>
  <si>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</si>
  <si>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</si>
  <si>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</si>
  <si>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</si>
  <si>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</si>
  <si>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</si>
  <si>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</si>
  <si>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</si>
  <si>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</si>
  <si>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</si>
  <si>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</si>
  <si>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</si>
  <si>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</si>
  <si>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</si>
  <si>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</si>
  <si>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</si>
  <si>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</si>
  <si>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</si>
  <si>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</si>
  <si>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</si>
  <si>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</si>
  <si>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</si>
  <si>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</si>
  <si>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</si>
  <si>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</si>
  <si>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</si>
  <si>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</si>
  <si>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</si>
  <si>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</si>
  <si>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</si>
  <si>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</si>
  <si>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</si>
  <si>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</si>
  <si>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</si>
  <si>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</si>
  <si>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</si>
  <si>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</si>
  <si>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</si>
  <si>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</si>
  <si>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</si>
  <si>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</si>
  <si>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</si>
  <si>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</si>
  <si>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</si>
  <si>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</si>
  <si>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</si>
  <si>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</si>
  <si>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</si>
  <si>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</si>
  <si>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</si>
  <si>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</si>
  <si>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</si>
  <si>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</si>
  <si>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</si>
  <si>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</si>
  <si>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</si>
  <si>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</si>
  <si>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</si>
  <si>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</si>
  <si>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</si>
  <si>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</si>
  <si>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</si>
  <si>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</si>
  <si>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</si>
  <si>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</si>
  <si>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</si>
  <si>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</si>
  <si>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</si>
  <si>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</si>
  <si>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</si>
  <si>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</si>
  <si>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</si>
  <si>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</si>
  <si>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</si>
  <si>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</si>
  <si>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</si>
  <si>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</si>
  <si>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</si>
  <si>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</si>
  <si>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</si>
  <si>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</si>
  <si>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</si>
  <si>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</si>
  <si>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</si>
  <si>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</si>
  <si>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</si>
  <si>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</si>
  <si>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</si>
  <si>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</si>
  <si>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</si>
  <si>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</si>
  <si>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</si>
  <si>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</si>
  <si>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</si>
  <si>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</si>
  <si>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</si>
  <si>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</si>
  <si>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</si>
  <si>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</si>
  <si>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</si>
  <si>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</si>
  <si>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</si>
  <si>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</si>
  <si>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</si>
  <si>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</si>
  <si>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</si>
  <si>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</si>
  <si>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</si>
  <si>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</si>
  <si>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</si>
  <si>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</si>
  <si>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</si>
  <si>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</si>
  <si>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</si>
  <si>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</si>
  <si>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</si>
  <si>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</si>
  <si>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</si>
  <si>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</si>
  <si>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</si>
  <si>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</si>
  <si>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</si>
  <si>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</si>
  <si>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</si>
  <si>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</si>
  <si>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</si>
  <si>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</si>
  <si>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</si>
  <si>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</si>
  <si>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</si>
  <si>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</si>
  <si>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</si>
  <si>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</si>
  <si>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</si>
  <si>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</si>
  <si>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</si>
  <si>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</si>
  <si>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</si>
  <si>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</si>
  <si>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</si>
  <si>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</si>
  <si>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</si>
  <si>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</si>
  <si>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</si>
  <si>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</si>
  <si>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</si>
  <si>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</si>
  <si>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</si>
  <si>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</si>
  <si>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</si>
  <si>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</si>
  <si>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</si>
  <si>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</si>
  <si>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</si>
  <si>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</si>
  <si>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</si>
  <si>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</si>
  <si>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</si>
  <si>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</si>
  <si>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</si>
  <si>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</si>
  <si>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</si>
  <si>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</si>
  <si>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</si>
  <si>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</si>
  <si>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</si>
  <si>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</si>
  <si>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</si>
  <si>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</si>
  <si>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</si>
  <si>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</si>
  <si>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</si>
  <si>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</si>
  <si>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</si>
  <si>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</si>
  <si>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</si>
  <si>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</si>
  <si>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</si>
  <si>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</si>
  <si>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</si>
  <si>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</si>
  <si>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</si>
  <si>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</si>
  <si>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</si>
  <si>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</si>
  <si>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</si>
  <si>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</si>
  <si>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</si>
  <si>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</si>
  <si>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</si>
  <si>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</si>
  <si>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</si>
  <si>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</si>
  <si>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</si>
  <si>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</si>
  <si>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</si>
  <si>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</si>
  <si>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</si>
  <si>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</si>
  <si>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</si>
  <si>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</si>
  <si>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</si>
  <si>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</si>
  <si>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</si>
  <si>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</si>
  <si>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</si>
  <si>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</si>
  <si>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</si>
  <si>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</si>
  <si>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</si>
  <si>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</si>
  <si>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</si>
  <si>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</si>
  <si>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</si>
  <si>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</si>
  <si>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</si>
  <si>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</si>
  <si>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</si>
  <si>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</si>
  <si>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</si>
  <si>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</si>
  <si>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</si>
  <si>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</si>
  <si>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</si>
  <si>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</si>
  <si>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</si>
  <si>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</si>
  <si>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</si>
  <si>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</si>
  <si>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</si>
  <si>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</si>
  <si>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</si>
  <si>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</si>
  <si>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</si>
  <si>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</si>
  <si>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</si>
  <si>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</si>
  <si>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</si>
  <si>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</si>
  <si>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</si>
  <si>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</si>
  <si>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</si>
  <si>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</si>
  <si>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</si>
  <si>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</si>
  <si>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</si>
  <si>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</si>
  <si>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</si>
  <si>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</si>
  <si>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</si>
  <si>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</si>
  <si>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</si>
  <si>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</si>
  <si>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</si>
  <si>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</si>
  <si>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</si>
  <si>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</si>
  <si>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</si>
  <si>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</si>
  <si>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</si>
  <si>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</si>
  <si>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</si>
  <si>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</si>
  <si>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</si>
  <si>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</si>
  <si>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</si>
  <si>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</si>
  <si>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</si>
  <si>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</si>
  <si>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</si>
  <si>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</si>
  <si>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</si>
  <si>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</si>
  <si>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</si>
  <si>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</si>
  <si>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</si>
  <si>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</si>
  <si>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</si>
  <si>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</si>
  <si>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</si>
  <si>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</si>
  <si>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</si>
  <si>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</si>
  <si>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</si>
  <si>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</si>
  <si>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</si>
  <si>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</si>
  <si>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</si>
  <si>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</si>
  <si>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</si>
  <si>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</si>
  <si>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</si>
  <si>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</si>
  <si>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</si>
  <si>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</si>
  <si>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</si>
  <si>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</si>
  <si>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</si>
  <si>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</si>
  <si>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</si>
  <si>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</si>
  <si>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</si>
  <si>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</si>
  <si>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</si>
  <si>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</si>
  <si>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</si>
  <si>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</si>
  <si>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</si>
  <si>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</si>
  <si>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</si>
  <si>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</si>
  <si>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</si>
  <si>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</si>
  <si>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</si>
  <si>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</si>
  <si>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</si>
  <si>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</si>
  <si>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</si>
  <si>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</si>
  <si>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</si>
  <si>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</si>
  <si>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</si>
  <si>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</si>
  <si>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</si>
  <si>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</si>
  <si>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</si>
  <si>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</si>
  <si>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</si>
  <si>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</si>
  <si>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</si>
  <si>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</si>
  <si>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</si>
  <si>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</si>
  <si>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</si>
  <si>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</si>
  <si>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</si>
  <si>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</si>
  <si>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</si>
  <si>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</si>
  <si>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</si>
  <si>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</si>
  <si>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</si>
  <si>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</si>
  <si>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</si>
  <si>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</si>
  <si>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</si>
  <si>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</si>
  <si>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</si>
  <si>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</si>
  <si>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</si>
  <si>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</si>
  <si>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</si>
  <si>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</si>
  <si>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</si>
  <si>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</si>
  <si>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</si>
  <si>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</si>
  <si>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</si>
  <si>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</si>
  <si>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</si>
  <si>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</si>
  <si>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</si>
  <si>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</si>
  <si>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</si>
  <si>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</si>
  <si>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</si>
  <si>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</si>
  <si>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</si>
  <si>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</si>
  <si>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</si>
  <si>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</si>
  <si>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</si>
  <si>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</si>
  <si>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</si>
  <si>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</si>
  <si>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</si>
  <si>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</si>
  <si>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</si>
  <si>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</si>
  <si>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</si>
  <si>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</si>
  <si>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</si>
  <si>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</si>
  <si>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</si>
  <si>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</si>
  <si>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</si>
  <si>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</si>
  <si>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</si>
  <si>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</si>
  <si>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</si>
  <si>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</si>
  <si>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</si>
  <si>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</si>
  <si>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</si>
  <si>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</si>
  <si>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</si>
  <si>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</si>
  <si>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</si>
  <si>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</si>
  <si>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</si>
  <si>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</si>
  <si>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</si>
  <si>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</si>
  <si>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</si>
  <si>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</si>
  <si>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</si>
  <si>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</si>
  <si>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</si>
  <si>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</si>
  <si>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</si>
  <si>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</si>
  <si>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</si>
  <si>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</si>
  <si>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</si>
  <si>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</si>
  <si>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</si>
  <si>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</si>
  <si>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</si>
  <si>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</si>
  <si>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</si>
  <si>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</si>
  <si>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</si>
  <si>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</si>
  <si>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</si>
  <si>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</si>
  <si>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</si>
  <si>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</si>
  <si>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</si>
  <si>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</si>
  <si>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</si>
  <si>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</si>
  <si>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</si>
  <si>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</si>
  <si>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</si>
  <si>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</si>
  <si>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</si>
  <si>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</si>
  <si>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</si>
  <si>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</si>
  <si>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</si>
  <si>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</si>
  <si>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</si>
  <si>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</si>
  <si>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</si>
  <si>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</si>
  <si>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</si>
  <si>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</si>
  <si>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</si>
  <si>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</si>
  <si>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</si>
  <si>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</si>
  <si>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</si>
  <si>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</si>
  <si>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</si>
  <si>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</si>
  <si>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</si>
  <si>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</si>
  <si>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</si>
  <si>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</si>
  <si>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</si>
  <si>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</si>
  <si>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</si>
  <si>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</si>
  <si>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</si>
  <si>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</si>
  <si>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</si>
  <si>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</si>
  <si>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</si>
  <si>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</si>
  <si>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</si>
  <si>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</si>
  <si>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</si>
  <si>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</si>
  <si>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</si>
  <si>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</si>
  <si>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</si>
  <si>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</si>
  <si>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</si>
  <si>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</si>
  <si>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</si>
  <si>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</si>
  <si>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</si>
  <si>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</si>
  <si>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</si>
  <si>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</si>
  <si>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</si>
  <si>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</si>
  <si>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</si>
  <si>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</si>
  <si>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</si>
  <si>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</si>
  <si>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</si>
  <si>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</si>
  <si>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</si>
  <si>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</si>
  <si>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</si>
  <si>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</si>
  <si>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</si>
  <si>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</si>
  <si>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</si>
  <si>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</si>
  <si>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</si>
  <si>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</si>
  <si>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</si>
  <si>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</si>
  <si>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</si>
  <si>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</si>
  <si>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</si>
  <si>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</si>
  <si>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</si>
  <si>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</si>
  <si>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</si>
  <si>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</si>
  <si>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</si>
  <si>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</si>
  <si>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</si>
  <si>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</si>
  <si>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</si>
  <si>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</si>
  <si>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</si>
  <si>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</si>
  <si>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</si>
  <si>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</si>
  <si>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</si>
  <si>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</si>
  <si>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</si>
  <si>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</si>
  <si>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</si>
  <si>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</si>
  <si>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</si>
  <si>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</si>
  <si>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</si>
  <si>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</si>
  <si>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</si>
  <si>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</si>
  <si>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</si>
  <si>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</si>
  <si>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</si>
  <si>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</si>
  <si>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</si>
  <si>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</si>
  <si>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</si>
  <si>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</si>
  <si>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</si>
  <si>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</si>
  <si>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</si>
  <si>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</si>
  <si>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</si>
  <si>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</si>
  <si>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</si>
  <si>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</si>
  <si>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</si>
  <si>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</si>
  <si>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</si>
  <si>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</si>
  <si>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</si>
  <si>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</si>
  <si>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</si>
  <si>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</si>
  <si>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</si>
  <si>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</si>
  <si>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</si>
  <si>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</si>
  <si>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</si>
  <si>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</si>
  <si>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</si>
  <si>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</si>
  <si>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</si>
  <si>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</si>
  <si>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</si>
  <si>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</si>
  <si>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</si>
  <si>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</si>
  <si>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</si>
  <si>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</si>
  <si>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</si>
  <si>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</si>
  <si>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</si>
  <si>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</si>
  <si>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</si>
  <si>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</si>
  <si>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</si>
  <si>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</si>
  <si>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</si>
  <si>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</si>
  <si>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</si>
  <si>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</si>
  <si>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</si>
  <si>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</si>
  <si>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</si>
  <si>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</si>
  <si>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</si>
  <si>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</si>
  <si>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</si>
  <si>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</si>
  <si>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</si>
  <si>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</si>
  <si>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</si>
  <si>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</si>
  <si>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</si>
  <si>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</si>
  <si>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</si>
  <si>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</si>
  <si>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</si>
  <si>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</si>
  <si>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</si>
  <si>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</si>
  <si>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</si>
  <si>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</si>
  <si>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</si>
  <si>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</si>
  <si>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</si>
  <si>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</si>
  <si>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</si>
  <si>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</si>
  <si>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</si>
  <si>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</si>
  <si>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</si>
  <si>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</si>
  <si>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</si>
  <si>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</si>
  <si>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</si>
  <si>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</si>
  <si>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</si>
  <si>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</si>
  <si>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</si>
  <si>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</si>
  <si>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</si>
  <si>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</si>
  <si>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</si>
  <si>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</si>
  <si>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</si>
  <si>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</si>
  <si>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</si>
  <si>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</si>
  <si>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</si>
  <si>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</si>
  <si>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</si>
  <si>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</si>
  <si>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</si>
  <si>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</si>
  <si>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</si>
  <si>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</si>
  <si>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</si>
  <si>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</si>
  <si>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</si>
  <si>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</si>
  <si>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</si>
  <si>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</si>
  <si>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</si>
  <si>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</si>
  <si>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</si>
  <si>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</si>
  <si>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</si>
  <si>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</si>
  <si>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</si>
  <si>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</si>
  <si>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</si>
  <si>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</si>
  <si>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</si>
  <si>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</si>
  <si>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</si>
  <si>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</si>
  <si>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</si>
  <si>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</si>
  <si>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</si>
  <si>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</si>
  <si>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</si>
  <si>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</si>
  <si>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</si>
  <si>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</si>
  <si>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</si>
  <si>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</si>
  <si>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</si>
  <si>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</si>
  <si>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</si>
  <si>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</si>
  <si>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</si>
  <si>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</si>
  <si>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</si>
  <si>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</si>
  <si>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</si>
  <si>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</si>
  <si>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</si>
  <si>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</si>
  <si>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</si>
  <si>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</si>
  <si>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</si>
  <si>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</si>
  <si>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</si>
  <si>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</si>
  <si>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</si>
  <si>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</si>
  <si>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</si>
  <si>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</si>
  <si>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</si>
  <si>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</si>
  <si>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</si>
  <si>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</si>
  <si>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</si>
  <si>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</si>
  <si>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</si>
  <si>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</si>
  <si>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</si>
  <si>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</si>
  <si>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</si>
  <si>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</si>
  <si>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</si>
  <si>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</si>
  <si>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</si>
  <si>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</si>
  <si>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</si>
  <si>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</si>
  <si>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</si>
  <si>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</si>
  <si>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</si>
  <si>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</si>
  <si>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</si>
  <si>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</si>
  <si>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</si>
  <si>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</si>
  <si>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</si>
  <si>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</si>
  <si>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</si>
  <si>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</si>
  <si>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</si>
  <si>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</si>
  <si>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</si>
  <si>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</si>
  <si>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</si>
  <si>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</si>
  <si>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</si>
  <si>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</si>
  <si>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</si>
  <si>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</si>
  <si>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</si>
  <si>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</si>
  <si>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</si>
  <si>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</si>
  <si>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</si>
  <si>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</si>
  <si>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</si>
  <si>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</si>
  <si>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</si>
  <si>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</si>
  <si>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</si>
  <si>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</si>
  <si>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</si>
  <si>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</si>
  <si>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</si>
  <si>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</si>
  <si>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</si>
  <si>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</si>
  <si>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</si>
  <si>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</si>
  <si>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</si>
  <si>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</si>
  <si>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</si>
  <si>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</si>
  <si>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</si>
  <si>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</si>
  <si>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</si>
  <si>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</si>
  <si>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</si>
  <si>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</si>
  <si>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</si>
  <si>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</si>
  <si>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</si>
  <si>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</si>
  <si>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</si>
  <si>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</si>
  <si>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</si>
  <si>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</si>
  <si>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</si>
  <si>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</si>
  <si>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</si>
  <si>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</si>
  <si>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</si>
  <si>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</si>
  <si>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</si>
  <si>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</si>
  <si>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</si>
  <si>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</si>
  <si>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</si>
  <si>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</si>
  <si>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</si>
  <si>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</si>
  <si>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</si>
  <si>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</si>
  <si>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</si>
  <si>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</si>
  <si>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</si>
  <si>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</si>
  <si>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</si>
  <si>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</si>
  <si>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</si>
  <si>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</si>
  <si>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</si>
  <si>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</si>
  <si>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</si>
  <si>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</si>
  <si>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</si>
  <si>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</si>
  <si>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</si>
  <si>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</si>
  <si>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</si>
  <si>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</si>
  <si>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</si>
  <si>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</si>
  <si>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</si>
  <si>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</si>
  <si>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</si>
  <si>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</si>
  <si>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</si>
  <si>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</si>
  <si>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</si>
  <si>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</si>
  <si>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</si>
  <si>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</si>
  <si>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</si>
  <si>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</si>
  <si>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</si>
  <si>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</si>
  <si>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</si>
  <si>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</si>
  <si>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</si>
  <si>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</si>
  <si>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</si>
  <si>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</si>
  <si>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</si>
  <si>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</si>
  <si>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</si>
  <si>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</si>
  <si>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</si>
  <si>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</si>
  <si>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</si>
  <si>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</si>
  <si>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</si>
  <si>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</si>
  <si>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COMUNIDAD VALENCIANA</t>
  </si>
  <si>
    <t>Provincias</t>
  </si>
  <si>
    <t>CASTELLON-CASTELLO</t>
  </si>
  <si>
    <t>Resumenes por Partidos Judiciales</t>
  </si>
  <si>
    <t>VINARÒS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</si>
</sst>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TNqFYFgzSHzTU4SB3bdumCA1HnnXaazzw9yyBDys4BAm3m4B6Un511ljFMtQaQw5z5v0o+insCUmBaPs6y61PQ==" saltValue="ga5oNq8o/WeFLtmgng+L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COMUNIDAD VALENCIANA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38</v>
      </c>
      <c r="D10" s="228">
        <f>IF(ISNUMBER(Datos!I10),Datos!I10," - ")</f>
        <v>38</v>
      </c>
      <c r="E10" s="229">
        <f>IF(ISNUMBER(Datos!J10),Datos!J10," - ")</f>
        <v>6</v>
      </c>
      <c r="F10" s="229">
        <f>IF(ISNUMBER(Datos!K10),Datos!K10," - ")</f>
        <v>2</v>
      </c>
      <c r="G10" s="1037" t="str">
        <f>IF(Datos!E10&lt;&gt;"",Datos!E10,Datos!D10)</f>
        <v>37</v>
      </c>
      <c r="H10" s="230">
        <f>IF(ISNUMBER(Datos!L10),Datos!L10," - ")</f>
        <v>42</v>
      </c>
      <c r="I10" s="1047" t="str">
        <f>IF(ISNUMBER(Datos!AS10/Datos!BM10),Datos!AS10/Datos!BM10," - ")</f>
        <v xml:space="preserve"> - </v>
      </c>
      <c r="J10" s="1048">
        <f>IF(ISNUMBER(Datos!BY10/Datos!CN10),Datos!BY10/Datos!CN10," - ")</f>
        <v>0</v>
      </c>
      <c r="K10" s="233">
        <f t="shared" ref="K10:K12" si="1">IF(ISNUMBER((E10-F10)/C10),(E10-F10)/C10," - ")</f>
        <v>0.10526315789473684</v>
      </c>
      <c r="L10" s="1028">
        <f>IF(ISNUMBER(NºAsuntos!I10/NºAsuntos!G10),(NºAsuntos!I10/NºAsuntos!G10)*11," - ")</f>
        <v>231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45.995044598612488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38</v>
      </c>
      <c r="D13" s="1052">
        <f>SUBTOTAL(9,D9:D12)</f>
        <v>38</v>
      </c>
      <c r="E13" s="1053">
        <f>SUBTOTAL(9,E9:E12)</f>
        <v>6</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2367</v>
      </c>
      <c r="D16" s="228">
        <f>IF(ISNUMBER(IF(D_I="SI",Datos!I16,Datos!I16+Datos!AC16)),IF(D_I="SI",Datos!I16,Datos!I16+Datos!AC16)," - ")</f>
        <v>2708</v>
      </c>
      <c r="E16" s="229">
        <f>IF(ISNUMBER(IF(D_I="SI",Datos!J16,Datos!J16+Datos!AD16)),IF(D_I="SI",Datos!J16,Datos!J16+Datos!AD16)," - ")</f>
        <v>1258</v>
      </c>
      <c r="F16" s="229">
        <f>IF(ISNUMBER(IF(D_I="SI",Datos!K16,Datos!K16+Datos!AE16)),IF(D_I="SI",Datos!K16,Datos!K16+Datos!AE16)," - ")</f>
        <v>1132</v>
      </c>
      <c r="G16" s="1037" t="str">
        <f>IF(Datos!E16&lt;&gt;"",Datos!E16,Datos!D16)</f>
        <v>04</v>
      </c>
      <c r="H16" s="230">
        <f>IF(ISNUMBER(IF(D_I="SI",Datos!L16,Datos!L16+Datos!AF16)),IF(D_I="SI",Datos!L16,Datos!L16+Datos!AF16)," - ")</f>
        <v>2493</v>
      </c>
      <c r="I16" s="1047" t="str">
        <f>IF(ISNUMBER(Datos!AS16/Datos!BM16),Datos!AS16/Datos!BM16," - ")</f>
        <v xml:space="preserve"> - </v>
      </c>
      <c r="J16" s="1048">
        <f>IF(ISNUMBER(Datos!BY16/Datos!CN16),Datos!BY16/Datos!CN16," - ")</f>
        <v>0</v>
      </c>
      <c r="K16" s="233">
        <f t="shared" si="3"/>
        <v>5.3231939163498096E-2</v>
      </c>
      <c r="L16" s="1028">
        <f>IF(ISNUMBER(NºAsuntos!I16/NºAsuntos!G16),(NºAsuntos!I16/NºAsuntos!G16)*11," - ")</f>
        <v>24.225265017667844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82</v>
      </c>
      <c r="D17" s="228">
        <f>IF(ISNUMBER(IF(D_I="SI",Datos!I17,Datos!I17+Datos!AC17)),IF(D_I="SI",Datos!I17,Datos!I17+Datos!AC17)," - ")</f>
        <v>82</v>
      </c>
      <c r="E17" s="229">
        <f>IF(ISNUMBER(IF(D_I="SI",Datos!J17,Datos!J17+Datos!AD17)),IF(D_I="SI",Datos!J17,Datos!J17+Datos!AD17)," - ")</f>
        <v>136</v>
      </c>
      <c r="F17" s="229">
        <f>IF(ISNUMBER(IF(D_I="SI",Datos!K17,Datos!K17+Datos!AE17)),IF(D_I="SI",Datos!K17,Datos!K17+Datos!AE17)," - ")</f>
        <v>134</v>
      </c>
      <c r="G17" s="1037" t="str">
        <f>IF(Datos!E17&lt;&gt;"",Datos!E17,Datos!D17)</f>
        <v>37</v>
      </c>
      <c r="H17" s="230">
        <f>IF(ISNUMBER(IF(D_I="SI",Datos!L17,Datos!L17+Datos!AF17)),IF(D_I="SI",Datos!L17,Datos!L17+Datos!AF17)," - ")</f>
        <v>84</v>
      </c>
      <c r="I17" s="1047" t="str">
        <f>IF(ISNUMBER(Datos!AS17/Datos!BM17),Datos!AS17/Datos!BM17," - ")</f>
        <v xml:space="preserve"> - </v>
      </c>
      <c r="J17" s="1048" t="str">
        <f>IF(ISNUMBER((Datos!BY17+Datos!BZ17)/Datos!CN17),(Datos!BY17+Datos!BZ17)/Datos!CN17," - ")</f>
        <v xml:space="preserve"> - </v>
      </c>
      <c r="K17" s="233">
        <f t="shared" si="3"/>
        <v>2.4390243902439025E-2</v>
      </c>
      <c r="L17" s="1028">
        <f>IF(ISNUMBER(NºAsuntos!I17/NºAsuntos!G17),(NºAsuntos!I17/NºAsuntos!G17)*11," - ")</f>
        <v>6.8955223880597014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2449</v>
      </c>
      <c r="D18" s="1052">
        <f>SUBTOTAL(9,D15:D17)</f>
        <v>2790</v>
      </c>
      <c r="E18" s="1053">
        <f>SUBTOTAL(9,E15:E17)</f>
        <v>1394</v>
      </c>
      <c r="F18" s="1053">
        <f>SUBTOTAL(9,F15:F17)</f>
        <v>1266</v>
      </c>
      <c r="G18" s="1055" t="str">
        <f ca="1">INDIRECT(CONCATENATE("G",ROW()-1))</f>
        <v>37</v>
      </c>
      <c r="H18" s="1056">
        <f ca="1">SUMIF(G$14:G17,G18,H$14:H17)</f>
        <v>84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2487</v>
      </c>
      <c r="D19" s="1074">
        <f>SUBTOTAL(9,D9:D18)</f>
        <v>2828</v>
      </c>
      <c r="E19" s="1075">
        <f>SUBTOTAL(9,E9:E18)</f>
        <v>1400</v>
      </c>
      <c r="F19" s="1075">
        <f>SUBTOTAL(9,F9:F18)</f>
        <v>1268</v>
      </c>
      <c r="G19" s="1076"/>
      <c r="H19" s="1077">
        <f ca="1">SUMIF(B9:B18,"TOTAL",H9:H18)</f>
        <v>84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bFu0wN32daeCHbB7RzKYffU3TY1s9hZ20udiYVdETl5o4KccBuBQXNmGFL2avhsbuj/n3AZTj5KnICN+yhyQxQ==" saltValue="yOGKGT/OszZ640n3Lh4aM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Tw0jPQbwIYaBSLiUXqAmyTano1z1E0cNhWnSQRfGuLgt0zXlRW6EljEXD27z+QWmrAKxzACQSAEBMKREyGYsAQ==" saltValue="X+shIoqIdxtAheBTEgJp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38</v>
      </c>
      <c r="J10" s="184">
        <v>6</v>
      </c>
      <c r="K10" s="184">
        <v>2</v>
      </c>
      <c r="L10" s="184">
        <v>42</v>
      </c>
      <c r="M10" s="184">
        <v>2</v>
      </c>
      <c r="N10" s="184">
        <v>0</v>
      </c>
      <c r="O10" s="184">
        <v>0</v>
      </c>
      <c r="P10" s="184">
        <v>0</v>
      </c>
      <c r="Q10" s="184">
        <v>0</v>
      </c>
      <c r="R10" s="184">
        <v>24</v>
      </c>
      <c r="S10" s="184">
        <v>19</v>
      </c>
      <c r="T10" s="184">
        <v>5</v>
      </c>
      <c r="U10" s="184">
        <v>3</v>
      </c>
      <c r="V10" s="184">
        <v>21</v>
      </c>
      <c r="W10" s="184">
        <v>1</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19</v>
      </c>
      <c r="AZ10" s="129">
        <f t="shared" si="0"/>
        <v>5</v>
      </c>
      <c r="BA10" s="129">
        <f t="shared" si="0"/>
        <v>3</v>
      </c>
      <c r="BB10" s="129">
        <f t="shared" si="0"/>
        <v>21</v>
      </c>
      <c r="BC10" s="125">
        <f t="shared" si="0"/>
        <v>1</v>
      </c>
      <c r="BD10" s="126">
        <f>IF(ISNUMBER(BA10/AZ10),BA10/AZ10," - ")</f>
        <v>0.6</v>
      </c>
      <c r="BE10" s="127">
        <f>IF(ISNUMBER(BB10/BA10),BB10/BA10, " - ")</f>
        <v>7</v>
      </c>
      <c r="BF10" s="127">
        <f>IF(ISNUMBER(BC10/BA10),BC10/BA10, " - ")</f>
        <v>0.33333333333333331</v>
      </c>
      <c r="BG10" s="199">
        <f>IF(ISNUMBER((AY10+AZ10)/BA10),(AY10+AZ10)/BA10," - ")</f>
        <v>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3742</v>
      </c>
      <c r="J12" s="186">
        <v>1263</v>
      </c>
      <c r="K12" s="186">
        <v>941</v>
      </c>
      <c r="L12" s="186">
        <v>4112</v>
      </c>
      <c r="M12" s="186">
        <v>210</v>
      </c>
      <c r="N12" s="186">
        <v>323</v>
      </c>
      <c r="O12" s="184">
        <v>598</v>
      </c>
      <c r="P12" s="186">
        <v>339</v>
      </c>
      <c r="Q12" s="186">
        <v>220</v>
      </c>
      <c r="R12" s="186">
        <v>5793</v>
      </c>
      <c r="S12" s="186">
        <v>3393</v>
      </c>
      <c r="T12" s="186">
        <v>1207</v>
      </c>
      <c r="U12" s="186">
        <v>1187</v>
      </c>
      <c r="V12" s="186">
        <v>3111</v>
      </c>
      <c r="W12" s="186">
        <v>253</v>
      </c>
      <c r="X12" s="192">
        <v>496</v>
      </c>
      <c r="Y12" s="194">
        <v>73</v>
      </c>
      <c r="Z12" s="184">
        <v>76</v>
      </c>
      <c r="AA12" s="184">
        <v>68</v>
      </c>
      <c r="AB12" s="184">
        <v>107</v>
      </c>
      <c r="AC12" s="186">
        <v>0</v>
      </c>
      <c r="AD12" s="186">
        <v>0</v>
      </c>
      <c r="AE12" s="186">
        <v>0</v>
      </c>
      <c r="AF12" s="192">
        <v>0</v>
      </c>
      <c r="AG12" s="205">
        <v>85</v>
      </c>
      <c r="AH12" s="186">
        <v>117</v>
      </c>
      <c r="AI12" s="186">
        <v>127</v>
      </c>
      <c r="AJ12" s="206">
        <v>75</v>
      </c>
      <c r="AK12" s="185">
        <v>0</v>
      </c>
      <c r="AL12" s="186">
        <v>0</v>
      </c>
      <c r="AM12" s="186">
        <v>0</v>
      </c>
      <c r="AN12" s="192">
        <v>0</v>
      </c>
      <c r="AO12" s="262">
        <v>5</v>
      </c>
      <c r="AP12" s="158">
        <v>5</v>
      </c>
      <c r="AQ12" s="158">
        <v>5</v>
      </c>
      <c r="AR12" s="157">
        <v>5</v>
      </c>
      <c r="AS12" s="343" t="s">
        <v>807</v>
      </c>
      <c r="AT12" s="206"/>
      <c r="AU12" s="205"/>
      <c r="AV12" s="206"/>
      <c r="AW12" s="205"/>
      <c r="AX12" s="206"/>
      <c r="AY12" s="126">
        <f t="shared" si="1"/>
        <v>3478</v>
      </c>
      <c r="AZ12" s="127">
        <f t="shared" si="1"/>
        <v>1324</v>
      </c>
      <c r="BA12" s="127">
        <f t="shared" si="1"/>
        <v>1314</v>
      </c>
      <c r="BB12" s="127">
        <f t="shared" si="1"/>
        <v>3186</v>
      </c>
      <c r="BC12" s="125">
        <f>IF(ISNUMBER(X12),X12," - ")</f>
        <v>496</v>
      </c>
      <c r="BD12" s="126">
        <f t="shared" si="2"/>
        <v>0.99244712990936557</v>
      </c>
      <c r="BE12" s="127">
        <f t="shared" si="3"/>
        <v>2.4246575342465753</v>
      </c>
      <c r="BF12" s="127">
        <f t="shared" si="4"/>
        <v>0.37747336377473362</v>
      </c>
      <c r="BG12" s="199">
        <f t="shared" si="5"/>
        <v>3.6544901065449009</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3780</v>
      </c>
      <c r="J13" s="187">
        <f t="shared" si="6"/>
        <v>1269</v>
      </c>
      <c r="K13" s="187">
        <f t="shared" si="6"/>
        <v>943</v>
      </c>
      <c r="L13" s="187">
        <f t="shared" si="6"/>
        <v>4154</v>
      </c>
      <c r="M13" s="187">
        <f t="shared" si="6"/>
        <v>212</v>
      </c>
      <c r="N13" s="187">
        <f t="shared" si="6"/>
        <v>323</v>
      </c>
      <c r="O13" s="187">
        <f t="shared" si="6"/>
        <v>598</v>
      </c>
      <c r="P13" s="187">
        <f t="shared" si="6"/>
        <v>339</v>
      </c>
      <c r="Q13" s="187">
        <f t="shared" si="6"/>
        <v>220</v>
      </c>
      <c r="R13" s="187">
        <f t="shared" si="6"/>
        <v>5817</v>
      </c>
      <c r="S13" s="187">
        <f t="shared" si="6"/>
        <v>3412</v>
      </c>
      <c r="T13" s="187">
        <f t="shared" si="6"/>
        <v>1212</v>
      </c>
      <c r="U13" s="187">
        <f t="shared" si="6"/>
        <v>1190</v>
      </c>
      <c r="V13" s="187">
        <f t="shared" si="6"/>
        <v>3132</v>
      </c>
      <c r="W13" s="187">
        <f t="shared" si="6"/>
        <v>254</v>
      </c>
      <c r="X13" s="187">
        <f t="shared" si="6"/>
        <v>497</v>
      </c>
      <c r="Y13" s="187">
        <f t="shared" si="6"/>
        <v>73</v>
      </c>
      <c r="Z13" s="187">
        <f t="shared" si="6"/>
        <v>76</v>
      </c>
      <c r="AA13" s="187">
        <f t="shared" si="6"/>
        <v>68</v>
      </c>
      <c r="AB13" s="187">
        <f t="shared" si="6"/>
        <v>107</v>
      </c>
      <c r="AC13" s="187">
        <f t="shared" si="6"/>
        <v>0</v>
      </c>
      <c r="AD13" s="187">
        <f t="shared" si="6"/>
        <v>0</v>
      </c>
      <c r="AE13" s="187">
        <f t="shared" si="6"/>
        <v>0</v>
      </c>
      <c r="AF13" s="187">
        <f>SUBTOTAL(9,AF9:AF12)</f>
        <v>0</v>
      </c>
      <c r="AG13" s="187">
        <f t="shared" ref="AG13:AT13" si="7">SUBTOTAL(9,AG8:AG12)</f>
        <v>85</v>
      </c>
      <c r="AH13" s="187">
        <f t="shared" si="7"/>
        <v>117</v>
      </c>
      <c r="AI13" s="187">
        <f t="shared" si="7"/>
        <v>127</v>
      </c>
      <c r="AJ13" s="187">
        <f t="shared" si="7"/>
        <v>75</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3497</v>
      </c>
      <c r="AZ13" s="187">
        <f>SUBTOTAL(9,AZ8:AZ12)</f>
        <v>1329</v>
      </c>
      <c r="BA13" s="187">
        <f>SUBTOTAL(9,BA8:BA12)</f>
        <v>1317</v>
      </c>
      <c r="BB13" s="187">
        <f>SUBTOTAL(9,BB8:BB12)</f>
        <v>3207</v>
      </c>
      <c r="BC13" s="187">
        <f>SUBTOTAL(9,BC8:BC12)</f>
        <v>497</v>
      </c>
      <c r="BD13" s="208">
        <f>IF(ISNUMBER(BA13/AZ13),BA13/AZ13," - ")</f>
        <v>0.99097065462753953</v>
      </c>
      <c r="BE13" s="209">
        <f>IF(ISNUMBER(BB13/BA13),BB13/BA13, " - ")</f>
        <v>2.4350797266514808</v>
      </c>
      <c r="BF13" s="209">
        <f>IF(ISNUMBER(BC13/BA13),BC13/BA13, " - ")</f>
        <v>0.37737281700835229</v>
      </c>
      <c r="BG13" s="210">
        <f>IF(ISNUMBER((AY13+AZ13)/BA13),(AY13+AZ13)/BA13," - ")</f>
        <v>3.6643887623386484</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2708</v>
      </c>
      <c r="J16" s="186">
        <v>1258</v>
      </c>
      <c r="K16" s="186">
        <v>1132</v>
      </c>
      <c r="L16" s="186">
        <v>2493</v>
      </c>
      <c r="M16" s="186">
        <v>143</v>
      </c>
      <c r="N16" s="186">
        <v>806</v>
      </c>
      <c r="O16" s="184">
        <v>13</v>
      </c>
      <c r="P16" s="186">
        <v>57</v>
      </c>
      <c r="Q16" s="186">
        <v>17</v>
      </c>
      <c r="R16" s="186">
        <v>330</v>
      </c>
      <c r="S16" s="186">
        <v>2540</v>
      </c>
      <c r="T16" s="186">
        <v>1232</v>
      </c>
      <c r="U16" s="186">
        <v>1018</v>
      </c>
      <c r="V16" s="186">
        <v>2648</v>
      </c>
      <c r="W16" s="186">
        <v>183</v>
      </c>
      <c r="X16" s="192">
        <v>571</v>
      </c>
      <c r="Y16" s="205">
        <v>0</v>
      </c>
      <c r="Z16" s="186">
        <v>0</v>
      </c>
      <c r="AA16" s="186">
        <v>0</v>
      </c>
      <c r="AB16" s="186">
        <v>0</v>
      </c>
      <c r="AC16" s="186">
        <v>0</v>
      </c>
      <c r="AD16" s="186">
        <v>14</v>
      </c>
      <c r="AE16" s="186">
        <v>14</v>
      </c>
      <c r="AF16" s="192">
        <v>0</v>
      </c>
      <c r="AG16" s="205">
        <v>0</v>
      </c>
      <c r="AH16" s="186">
        <v>0</v>
      </c>
      <c r="AI16" s="186">
        <v>0</v>
      </c>
      <c r="AJ16" s="206">
        <v>0</v>
      </c>
      <c r="AK16" s="185">
        <v>0</v>
      </c>
      <c r="AL16" s="186">
        <v>30</v>
      </c>
      <c r="AM16" s="186">
        <v>30</v>
      </c>
      <c r="AN16" s="192">
        <v>0</v>
      </c>
      <c r="AO16" s="262">
        <v>5</v>
      </c>
      <c r="AP16" s="158">
        <v>5</v>
      </c>
      <c r="AQ16" s="158">
        <v>5</v>
      </c>
      <c r="AR16" s="158">
        <v>5</v>
      </c>
      <c r="AS16" s="343" t="s">
        <v>491</v>
      </c>
      <c r="AT16" s="206"/>
      <c r="AU16" s="205"/>
      <c r="AV16" s="206"/>
      <c r="AW16" s="205"/>
      <c r="AX16" s="206"/>
      <c r="AY16" s="126">
        <f t="shared" si="9"/>
        <v>2540</v>
      </c>
      <c r="AZ16" s="127">
        <f t="shared" si="9"/>
        <v>1232</v>
      </c>
      <c r="BA16" s="127">
        <f t="shared" si="9"/>
        <v>1018</v>
      </c>
      <c r="BB16" s="127">
        <f t="shared" si="9"/>
        <v>2648</v>
      </c>
      <c r="BC16" s="125">
        <f>IF(ISNUMBER(W16),W16," - ")</f>
        <v>183</v>
      </c>
      <c r="BD16" s="126">
        <f t="shared" ref="BD16" si="11">IF(ISNUMBER(BA16/AZ16),BA16/AZ16," - ")</f>
        <v>0.82629870129870131</v>
      </c>
      <c r="BE16" s="127">
        <f t="shared" ref="BE16" si="12">IF(ISNUMBER(BB16/BA16),BB16/BA16, " - ")</f>
        <v>2.601178781925344</v>
      </c>
      <c r="BF16" s="127">
        <f t="shared" ref="BF16" si="13">IF(ISNUMBER(BC16/BA16),BC16/BA16, " - ")</f>
        <v>0.17976424361493124</v>
      </c>
      <c r="BG16" s="199">
        <f t="shared" si="10"/>
        <v>3.7053045186640472</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82</v>
      </c>
      <c r="J17" s="186">
        <v>136</v>
      </c>
      <c r="K17" s="186">
        <v>134</v>
      </c>
      <c r="L17" s="186">
        <v>84</v>
      </c>
      <c r="M17" s="186">
        <v>21</v>
      </c>
      <c r="N17" s="186">
        <v>64</v>
      </c>
      <c r="O17" s="186">
        <v>0</v>
      </c>
      <c r="P17" s="186">
        <v>2</v>
      </c>
      <c r="Q17" s="186">
        <v>0</v>
      </c>
      <c r="R17" s="186">
        <v>11</v>
      </c>
      <c r="S17" s="186">
        <v>20</v>
      </c>
      <c r="T17" s="186">
        <v>76</v>
      </c>
      <c r="U17" s="186">
        <v>68</v>
      </c>
      <c r="V17" s="186">
        <v>29</v>
      </c>
      <c r="W17" s="186">
        <v>16</v>
      </c>
      <c r="X17" s="192">
        <v>13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20</v>
      </c>
      <c r="AZ17" s="129">
        <f t="shared" si="14"/>
        <v>76</v>
      </c>
      <c r="BA17" s="129">
        <f t="shared" si="14"/>
        <v>68</v>
      </c>
      <c r="BB17" s="129">
        <f t="shared" si="14"/>
        <v>29</v>
      </c>
      <c r="BC17" s="125">
        <f>IF(ISNUMBER(W17),W17," - ")</f>
        <v>16</v>
      </c>
      <c r="BD17" s="126">
        <f>IF(ISNUMBER(BA17/AZ17),BA17/AZ17," - ")</f>
        <v>0.89473684210526316</v>
      </c>
      <c r="BE17" s="127">
        <f>IF(ISNUMBER(BB17/BA17),BB17/BA17, " - ")</f>
        <v>0.4264705882352941</v>
      </c>
      <c r="BF17" s="127">
        <f>IF(ISNUMBER(BC17/BA17),BC17/BA17, " - ")</f>
        <v>0.23529411764705882</v>
      </c>
      <c r="BG17" s="199">
        <f>IF(ISNUMBER((AY17+AZ17)/BA17),(AY17+AZ17)/BA17," - ")</f>
        <v>1.411764705882353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2790</v>
      </c>
      <c r="J18" s="187">
        <f t="shared" si="15"/>
        <v>1394</v>
      </c>
      <c r="K18" s="187">
        <f t="shared" si="15"/>
        <v>1266</v>
      </c>
      <c r="L18" s="187">
        <f t="shared" si="15"/>
        <v>2577</v>
      </c>
      <c r="M18" s="187">
        <f t="shared" si="15"/>
        <v>164</v>
      </c>
      <c r="N18" s="187">
        <f t="shared" si="15"/>
        <v>870</v>
      </c>
      <c r="O18" s="187">
        <f t="shared" si="15"/>
        <v>13</v>
      </c>
      <c r="P18" s="187">
        <f t="shared" si="15"/>
        <v>59</v>
      </c>
      <c r="Q18" s="187">
        <f t="shared" si="15"/>
        <v>17</v>
      </c>
      <c r="R18" s="187">
        <f t="shared" si="15"/>
        <v>341</v>
      </c>
      <c r="S18" s="187">
        <f t="shared" si="15"/>
        <v>2560</v>
      </c>
      <c r="T18" s="187">
        <f t="shared" si="15"/>
        <v>1308</v>
      </c>
      <c r="U18" s="187">
        <f t="shared" si="15"/>
        <v>1086</v>
      </c>
      <c r="V18" s="187">
        <f t="shared" si="15"/>
        <v>2677</v>
      </c>
      <c r="W18" s="187">
        <f t="shared" si="15"/>
        <v>199</v>
      </c>
      <c r="X18" s="187">
        <f t="shared" si="15"/>
        <v>584</v>
      </c>
      <c r="Y18" s="187">
        <f t="shared" si="15"/>
        <v>0</v>
      </c>
      <c r="Z18" s="187">
        <f t="shared" si="15"/>
        <v>0</v>
      </c>
      <c r="AA18" s="187">
        <f t="shared" si="15"/>
        <v>0</v>
      </c>
      <c r="AB18" s="187">
        <f t="shared" si="15"/>
        <v>0</v>
      </c>
      <c r="AC18" s="187">
        <f t="shared" si="15"/>
        <v>0</v>
      </c>
      <c r="AD18" s="187">
        <f t="shared" si="15"/>
        <v>14</v>
      </c>
      <c r="AE18" s="187">
        <f t="shared" si="15"/>
        <v>14</v>
      </c>
      <c r="AF18" s="187">
        <f t="shared" si="15"/>
        <v>0</v>
      </c>
      <c r="AG18" s="187">
        <f t="shared" si="15"/>
        <v>0</v>
      </c>
      <c r="AH18" s="187">
        <f t="shared" si="15"/>
        <v>0</v>
      </c>
      <c r="AI18" s="187">
        <f t="shared" si="15"/>
        <v>0</v>
      </c>
      <c r="AJ18" s="187">
        <f t="shared" si="15"/>
        <v>0</v>
      </c>
      <c r="AK18" s="187">
        <f t="shared" si="15"/>
        <v>0</v>
      </c>
      <c r="AL18" s="187">
        <f t="shared" si="15"/>
        <v>30</v>
      </c>
      <c r="AM18" s="187">
        <f t="shared" si="15"/>
        <v>30</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2560</v>
      </c>
      <c r="AZ18" s="187">
        <f>SUBTOTAL(9,AZ14:AZ17)</f>
        <v>1308</v>
      </c>
      <c r="BA18" s="187">
        <f>SUBTOTAL(9,BA14:BA17)</f>
        <v>1086</v>
      </c>
      <c r="BB18" s="187">
        <f>SUBTOTAL(9,BB14:BB17)</f>
        <v>2677</v>
      </c>
      <c r="BC18" s="187">
        <f>SUBTOTAL(9,BC14:BC17)</f>
        <v>199</v>
      </c>
      <c r="BD18" s="208">
        <f>IF(ISNUMBER(BA18/AZ18),BA18/AZ18," - ")</f>
        <v>0.83027522935779818</v>
      </c>
      <c r="BE18" s="209">
        <f>IF(ISNUMBER(BB18/BA18),BB18/BA18, " - ")</f>
        <v>2.465009208103131</v>
      </c>
      <c r="BF18" s="209">
        <f>IF(ISNUMBER(BC18/BA18),BC18/BA18, " - ")</f>
        <v>0.18324125230202579</v>
      </c>
      <c r="BG18" s="210">
        <f>IF(ISNUMBER((AY18+AZ18)/BA18),(AY18+AZ18)/BA18," - ")</f>
        <v>3.5616942909760589</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6570</v>
      </c>
      <c r="J19" s="134">
        <f t="shared" si="18"/>
        <v>2663</v>
      </c>
      <c r="K19" s="134">
        <f t="shared" si="18"/>
        <v>2209</v>
      </c>
      <c r="L19" s="134">
        <f t="shared" si="18"/>
        <v>6731</v>
      </c>
      <c r="M19" s="134">
        <f t="shared" si="18"/>
        <v>376</v>
      </c>
      <c r="N19" s="134">
        <f t="shared" si="18"/>
        <v>1193</v>
      </c>
      <c r="O19" s="134">
        <f t="shared" si="18"/>
        <v>611</v>
      </c>
      <c r="P19" s="134">
        <f t="shared" si="18"/>
        <v>398</v>
      </c>
      <c r="Q19" s="134">
        <f t="shared" si="18"/>
        <v>237</v>
      </c>
      <c r="R19" s="134">
        <f t="shared" si="18"/>
        <v>6158</v>
      </c>
      <c r="S19" s="134">
        <f t="shared" si="18"/>
        <v>5972</v>
      </c>
      <c r="T19" s="134">
        <f t="shared" si="18"/>
        <v>2520</v>
      </c>
      <c r="U19" s="134">
        <f t="shared" si="18"/>
        <v>2276</v>
      </c>
      <c r="V19" s="134">
        <f t="shared" si="18"/>
        <v>5809</v>
      </c>
      <c r="W19" s="134">
        <f t="shared" si="18"/>
        <v>453</v>
      </c>
      <c r="X19" s="134">
        <f t="shared" si="18"/>
        <v>1081</v>
      </c>
      <c r="Y19" s="134">
        <f t="shared" si="18"/>
        <v>73</v>
      </c>
      <c r="Z19" s="134">
        <f t="shared" si="18"/>
        <v>76</v>
      </c>
      <c r="AA19" s="134">
        <f t="shared" si="18"/>
        <v>68</v>
      </c>
      <c r="AB19" s="134">
        <f t="shared" si="18"/>
        <v>107</v>
      </c>
      <c r="AC19" s="134">
        <f t="shared" si="18"/>
        <v>0</v>
      </c>
      <c r="AD19" s="134">
        <f t="shared" si="18"/>
        <v>14</v>
      </c>
      <c r="AE19" s="134">
        <f t="shared" si="18"/>
        <v>14</v>
      </c>
      <c r="AF19" s="134">
        <f t="shared" si="18"/>
        <v>0</v>
      </c>
      <c r="AG19" s="134">
        <f t="shared" si="18"/>
        <v>85</v>
      </c>
      <c r="AH19" s="134">
        <f t="shared" si="18"/>
        <v>117</v>
      </c>
      <c r="AI19" s="134">
        <f t="shared" si="18"/>
        <v>127</v>
      </c>
      <c r="AJ19" s="134">
        <f t="shared" si="18"/>
        <v>75</v>
      </c>
      <c r="AK19" s="134">
        <f t="shared" si="18"/>
        <v>0</v>
      </c>
      <c r="AL19" s="134">
        <f t="shared" si="18"/>
        <v>30</v>
      </c>
      <c r="AM19" s="134">
        <f t="shared" si="18"/>
        <v>30</v>
      </c>
      <c r="AN19" s="213">
        <f t="shared" si="18"/>
        <v>0</v>
      </c>
      <c r="AO19" s="214">
        <v>6</v>
      </c>
      <c r="AP19" s="214">
        <v>5</v>
      </c>
      <c r="AQ19" s="214">
        <v>5</v>
      </c>
      <c r="AR19" s="214">
        <v>5</v>
      </c>
      <c r="AS19" s="156">
        <f t="shared" si="18"/>
        <v>0</v>
      </c>
      <c r="AT19" s="156">
        <f t="shared" si="18"/>
        <v>0</v>
      </c>
      <c r="AU19" s="214"/>
      <c r="AV19" s="215"/>
      <c r="AW19" s="214"/>
      <c r="AX19" s="215"/>
      <c r="AY19" s="133">
        <f>SUBTOTAL(9,AY9:AY18)</f>
        <v>6057</v>
      </c>
      <c r="AZ19" s="134">
        <f>SUBTOTAL(9,AZ9:AZ18)</f>
        <v>2637</v>
      </c>
      <c r="BA19" s="134">
        <f>SUBTOTAL(9,BA9:BA18)</f>
        <v>2403</v>
      </c>
      <c r="BB19" s="134">
        <f>SUBTOTAL(9,BB9:BB18)</f>
        <v>5884</v>
      </c>
      <c r="BC19" s="135">
        <f>SUBTOTAL(9,BC9:BC18)</f>
        <v>696</v>
      </c>
      <c r="BD19" s="216">
        <f>IF(ISNUMBER(BA19/AZ19),BA19/AZ19," - ")</f>
        <v>0.9112627986348123</v>
      </c>
      <c r="BE19" s="213">
        <f>IF(ISNUMBER(BB19/BA19),BB19/BA19, " - ")</f>
        <v>2.4486059092800665</v>
      </c>
      <c r="BF19" s="213">
        <f>IF(ISNUMBER(BC19/BA19),BC19/BA19, " - ")</f>
        <v>0.28963795255930086</v>
      </c>
      <c r="BG19" s="135">
        <f>IF(ISNUMBER((AY19+AZ19)/BA19),(AY19+AZ19)/BA19," - ")</f>
        <v>3.6179775280898876</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0fQk6CVIqUXSt+CyOh3qZhrODy8dSuu/VeNHaAzx6yZr4vkTI7n0pP9oMI6Qnyf8wLjneEb5cIPhPiwxb2pEQ==" saltValue="RAUbxdbWTb8ozaSmyMCo7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uZBzidZCHCmsn51bv3rpff9ifvnhr9dwEZqU4RBXNGe9VyNuiP4YI5KhCsbKk2HdselGVN+Syj/hNJYzoisRg==" saltValue="dmSS8p/Amgrtg9oLY1y6C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CASTELLON-CASTELLO  Resumenes por Partidos Judiciales  VINARÒS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38</v>
      </c>
      <c r="G10" s="336">
        <f>IF(ISNUMBER(Datos!I10),Datos!I10," - ")</f>
        <v>38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42</v>
      </c>
      <c r="AG10" s="337"/>
      <c r="AH10" s="337"/>
      <c r="AI10" s="337"/>
      <c r="AJ10" s="337"/>
      <c r="AK10" s="337"/>
      <c r="AL10" s="482"/>
      <c r="AM10" s="338">
        <f>IF(ISNUMBER(Datos!R10),Datos!R10," - ")</f>
        <v>24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0.33333333333333331</v>
      </c>
      <c r="BH10" s="263">
        <f>IF(ISNUMBER(((Datos!L10/Datos!K10)*11)/factor_trimestre),((Datos!L10/Datos!K10)*11)/factor_trimestre," - ")</f>
        <v>63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5</v>
      </c>
      <c r="B12" s="510" t="s">
        <v>249</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76</v>
      </c>
      <c r="O12" s="337"/>
      <c r="P12" s="337"/>
      <c r="Q12" s="229">
        <f>IF(ISNUMBER(Datos!P12),Datos!P12,0)</f>
        <v>339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220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107</v>
      </c>
      <c r="AI12" s="337" t="str">
        <f>IF(ISNUMBER(Datos!CD12),Datos!CD12,"-")</f>
        <v>-</v>
      </c>
      <c r="AJ12" s="337" t="str">
        <f>IF(ISNUMBER(Datos!EN12),Datos!EN12," - ")</f>
        <v xml:space="preserve"> - </v>
      </c>
      <c r="AK12" s="337"/>
      <c r="AL12" s="482"/>
      <c r="AM12" s="338">
        <f>IF(ISNUMBER(Datos!R12),Datos!R12," - ")</f>
        <v>5793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210</v>
      </c>
      <c r="BD12" s="232">
        <f>IF(ISNUMBER(Datos!N12),Datos!N12," - ")</f>
        <v>323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0.7535474234503361</v>
      </c>
      <c r="BH12" s="263">
        <f>IF(ISNUMBER(((IF(J_V="SI",Datos!L12/Datos!K12,(Datos!L12+Datos!AB12)/(Datos!K12+Datos!AA12)))*11)/factor_trimestre),((IF(J_V="SI",Datos!L12/Datos!K12,(Datos!L12+Datos!AB12)/(Datos!K12+Datos!AA12)))*11)/factor_trimestre," - ")</f>
        <v>12.544103072348861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2.0972858653507225E-2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5</v>
      </c>
      <c r="F13" s="901">
        <f t="shared" si="0"/>
        <v>38</v>
      </c>
      <c r="G13" s="901">
        <f t="shared" si="0"/>
        <v>38</v>
      </c>
      <c r="H13" s="902">
        <f t="shared" si="0"/>
        <v>0</v>
      </c>
      <c r="I13" s="901">
        <f t="shared" si="0"/>
        <v>0</v>
      </c>
      <c r="J13" s="870">
        <f t="shared" si="0"/>
        <v>0</v>
      </c>
      <c r="K13" s="870">
        <f t="shared" si="0"/>
        <v>0</v>
      </c>
      <c r="L13" s="902">
        <f t="shared" si="0"/>
        <v>0</v>
      </c>
      <c r="M13" s="902">
        <f t="shared" si="0"/>
        <v>0</v>
      </c>
      <c r="N13" s="902">
        <f t="shared" si="0"/>
        <v>76</v>
      </c>
      <c r="O13" s="903">
        <f t="shared" si="0"/>
        <v>0</v>
      </c>
      <c r="P13" s="903">
        <f t="shared" si="0"/>
        <v>0</v>
      </c>
      <c r="Q13" s="902">
        <f t="shared" si="0"/>
        <v>339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220</v>
      </c>
      <c r="AD13" s="902">
        <f t="shared" si="1"/>
        <v>0</v>
      </c>
      <c r="AE13" s="902">
        <f t="shared" si="1"/>
        <v>0</v>
      </c>
      <c r="AF13" s="902">
        <f t="shared" si="1"/>
        <v>42</v>
      </c>
      <c r="AG13" s="902">
        <f t="shared" si="1"/>
        <v>0</v>
      </c>
      <c r="AH13" s="902">
        <f t="shared" si="1"/>
        <v>107</v>
      </c>
      <c r="AI13" s="902">
        <f t="shared" si="1"/>
        <v>0</v>
      </c>
      <c r="AJ13" s="902">
        <f t="shared" si="1"/>
        <v>0</v>
      </c>
      <c r="AK13" s="902">
        <f t="shared" si="1"/>
        <v>0</v>
      </c>
      <c r="AL13" s="902">
        <f t="shared" si="1"/>
        <v>0</v>
      </c>
      <c r="AM13" s="902">
        <f t="shared" si="1"/>
        <v>5817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212</v>
      </c>
      <c r="BD13" s="902">
        <f t="shared" si="1"/>
        <v>323</v>
      </c>
      <c r="BE13" s="902">
        <f t="shared" si="1"/>
        <v>0</v>
      </c>
      <c r="BF13" s="902">
        <f t="shared" si="1"/>
        <v>0</v>
      </c>
      <c r="BG13" s="902">
        <f>IF(ISNUMBER(Datos!K13/Datos!J13),Datos!K13/Datos!J13," - ")</f>
        <v>0.74310480693459413</v>
      </c>
      <c r="BH13" s="906">
        <f>IF(ISNUMBER(((Datos!L13/Datos!K13)*11)/factor_trimestre),((Datos!L13/Datos!K13)*11)/factor_trimestre," - ")</f>
        <v>13.215270413573704</v>
      </c>
      <c r="BI13" s="902">
        <f>IF(ISNUMBER('Resol  Asuntos'!D13/NºAsuntos!G13),'Resol  Asuntos'!D13/NºAsuntos!G13," - ")</f>
        <v>0.20969337289812068</v>
      </c>
      <c r="BJ13" s="902" t="str">
        <f>IF(ISNUMBER(Datos!CI13/Datos!CJ13),Datos!CI13/Datos!CJ13," - ")</f>
        <v xml:space="preserve"> - </v>
      </c>
      <c r="BK13" s="902">
        <f>SUBTOTAL(9,BK8:BK12)</f>
        <v>0</v>
      </c>
      <c r="BL13" s="902">
        <f>IF(ISNUMBER((I13-AB13+L13)/(F13)),(I13-AB13+L13)/(F13)," - ")</f>
        <v>-5.2631578947368418E-2</v>
      </c>
      <c r="BM13" s="907">
        <f>SUBTOTAL(9,BM9:BM12)</f>
        <v>2.0972858653507225E-2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5</v>
      </c>
      <c r="B16" s="597" t="s">
        <v>400</v>
      </c>
      <c r="C16" s="603" t="str">
        <f>Datos!A16</f>
        <v xml:space="preserve">Jdos. 1ª Instª. e Instr.                        </v>
      </c>
      <c r="D16" s="604"/>
      <c r="E16" s="1168">
        <f>IF(ISNUMBER(Datos!AQ16),Datos!AQ16," - ")</f>
        <v>5</v>
      </c>
      <c r="F16" s="598">
        <f>IF(ISNUMBER(AF16+AB16-Datos!J16-L16),AF16+AB16-Datos!J16-L16," - ")</f>
        <v>2367</v>
      </c>
      <c r="G16" s="601">
        <f>IF(ISNUMBER(IF(D_I="SI",Datos!I16,Datos!I16+Datos!AC16)),IF(D_I="SI",Datos!I16,Datos!I16+Datos!AC16)," - ")</f>
        <v>2708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1132</v>
      </c>
      <c r="AC16" s="229">
        <f>IF(ISNUMBER(Datos!Q16),Datos!Q16," - ")</f>
        <v>17</v>
      </c>
      <c r="AD16" s="337"/>
      <c r="AE16" s="487"/>
      <c r="AF16" s="599">
        <f>IF(ISNUMBER(IF(D_I="SI",Datos!L16,Datos!L16+Datos!AF16)),IF(D_I="SI",Datos!L16,Datos!L16+Datos!AF16)," - ")</f>
        <v>2493</v>
      </c>
      <c r="AG16" s="337"/>
      <c r="AH16" s="337"/>
      <c r="AI16" s="337"/>
      <c r="AJ16" s="337"/>
      <c r="AK16" s="337"/>
      <c r="AL16" s="482"/>
      <c r="AM16" s="338">
        <f>IF(ISNUMBER(Datos!R16),Datos!R16," - ")</f>
        <v>330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143</v>
      </c>
      <c r="BD16" s="232">
        <f>IF(ISNUMBER(Datos!N16),Datos!N16," - ")</f>
        <v>806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0.89984101748807632</v>
      </c>
      <c r="BH16" s="263">
        <f>IF(ISNUMBER(((IF(D_I="SI",Datos!L16/Datos!K16,(Datos!L16+Datos!AF16)/(Datos!K16+Datos!AE16)))*11)/factor_trimestre),((IF(D_I="SI",Datos!L16/Datos!K16,(Datos!L16+Datos!AF16)/(Datos!K16+Datos!AE16)))*11)/factor_trimestre," - ")</f>
        <v>6.6068904593639575</v>
      </c>
      <c r="BI16" s="246">
        <f>IF(ISNUMBER('Resol  Asuntos'!D16/NºAsuntos!G16),'Resol  Asuntos'!D16/NºAsuntos!G16," - ")</f>
        <v>0.12632508833922262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134</v>
      </c>
      <c r="AC17" s="229">
        <f>IF(ISNUMBER(Datos!Q17),Datos!Q17," - ")</f>
        <v>0</v>
      </c>
      <c r="AD17" s="337"/>
      <c r="AE17" s="487"/>
      <c r="AF17" s="335">
        <f>IF(ISNUMBER(Datos!L17),Datos!L17,"-")</f>
        <v>84</v>
      </c>
      <c r="AG17" s="337"/>
      <c r="AH17" s="337"/>
      <c r="AI17" s="337"/>
      <c r="AJ17" s="337"/>
      <c r="AK17" s="337"/>
      <c r="AL17" s="482"/>
      <c r="AM17" s="338">
        <f>IF(ISNUMBER(Datos!R17),Datos!R17," - ")</f>
        <v>11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21</v>
      </c>
      <c r="BD17" s="232">
        <f>IF(ISNUMBER(Datos!N17),Datos!N17," - ")</f>
        <v>64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0.98529411764705888</v>
      </c>
      <c r="BH17" s="263">
        <f>IF(ISNUMBER(((IF(D_I="SI",Datos!L17/Datos!K17,(Datos!L17+Datos!AF17)/(Datos!K17+Datos!AE17)))*11)/factor_trimestre),((IF(D_I="SI",Datos!L17/Datos!K17,(Datos!L17+Datos!AF17)/(Datos!K17+Datos!AE17)))*11)/factor_trimestre," - ")</f>
        <v>1.8805970149253732</v>
      </c>
      <c r="BI17" s="246">
        <f>IF(ISNUMBER('Resol  Asuntos'!D17/NºAsuntos!G17),'Resol  Asuntos'!D17/NºAsuntos!G17," - ")</f>
        <v>0.15671641791044777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2367</v>
      </c>
      <c r="G18" s="901">
        <f>SUBTOTAL(9,G15:G17)</f>
        <v>2790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1266</v>
      </c>
      <c r="AC18" s="902">
        <f t="shared" si="4"/>
        <v>17</v>
      </c>
      <c r="AD18" s="902">
        <f t="shared" si="4"/>
        <v>0</v>
      </c>
      <c r="AE18" s="902">
        <f t="shared" si="4"/>
        <v>0</v>
      </c>
      <c r="AF18" s="902">
        <f t="shared" si="4"/>
        <v>2577</v>
      </c>
      <c r="AG18" s="902">
        <f t="shared" si="4"/>
        <v>0</v>
      </c>
      <c r="AH18" s="902">
        <f t="shared" si="4"/>
        <v>0</v>
      </c>
      <c r="AI18" s="902">
        <f t="shared" si="4"/>
        <v>0</v>
      </c>
      <c r="AJ18" s="902">
        <f t="shared" si="4"/>
        <v>0</v>
      </c>
      <c r="AK18" s="902">
        <f t="shared" si="4"/>
        <v>0</v>
      </c>
      <c r="AL18" s="902">
        <f t="shared" si="4"/>
        <v>0</v>
      </c>
      <c r="AM18" s="902">
        <f t="shared" si="4"/>
        <v>341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164</v>
      </c>
      <c r="BD18" s="902">
        <f t="shared" si="4"/>
        <v>870</v>
      </c>
      <c r="BE18" s="902">
        <f t="shared" si="4"/>
        <v>0</v>
      </c>
      <c r="BF18" s="902">
        <f t="shared" si="4"/>
        <v>0</v>
      </c>
      <c r="BG18" s="902">
        <f>IF(ISNUMBER(Datos!K18/Datos!J18),Datos!K18/Datos!J18," - ")</f>
        <v>0.90817790530846487</v>
      </c>
      <c r="BH18" s="906">
        <f>IF(ISNUMBER(((Datos!L18/Datos!K18)*11)/factor_trimestre),((Datos!L18/Datos!K18)*11)/factor_trimestre," - ")</f>
        <v>6.1066350710900474</v>
      </c>
      <c r="BI18" s="902">
        <f>SUBTOTAL(9,BI15:BI17)</f>
        <v>0.28304150624967039</v>
      </c>
      <c r="BJ18" s="902">
        <f>SUBTOTAL(9,BJ15:BJ17)</f>
        <v>0</v>
      </c>
      <c r="BK18" s="902">
        <f>SUBTOTAL(9,BK15:BK17)</f>
        <v>0</v>
      </c>
      <c r="BL18" s="902">
        <f>IF(ISNUMBER((I18-AB18+L18)/(F18)),(I18-AB18+L18)/(F18)," - ")</f>
        <v>-0.53485424588086183</v>
      </c>
      <c r="BM18" s="908">
        <f>IF(ISNUMBER((Datos!P18-Datos!Q18)/(Datos!R18-Datos!P18+Datos!Q18)),(Datos!P18-Datos!Q18)/(Datos!R18-Datos!P18+Datos!Q18)," - ")</f>
        <v>0.14046822742474915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10</v>
      </c>
      <c r="F19" s="823">
        <f t="shared" si="6"/>
        <v>2405</v>
      </c>
      <c r="G19" s="823">
        <f t="shared" si="6"/>
        <v>2828</v>
      </c>
      <c r="H19" s="825">
        <f t="shared" si="6"/>
        <v>0</v>
      </c>
      <c r="I19" s="823">
        <f t="shared" si="6"/>
        <v>0</v>
      </c>
      <c r="J19" s="825">
        <f t="shared" si="6"/>
        <v>0</v>
      </c>
      <c r="K19" s="825">
        <f t="shared" si="6"/>
        <v>0</v>
      </c>
      <c r="L19" s="884">
        <f t="shared" si="6"/>
        <v>0</v>
      </c>
      <c r="M19" s="884">
        <f t="shared" si="6"/>
        <v>0</v>
      </c>
      <c r="N19" s="884">
        <f t="shared" si="6"/>
        <v>76</v>
      </c>
      <c r="O19" s="884">
        <f t="shared" si="6"/>
        <v>0</v>
      </c>
      <c r="P19" s="884">
        <f t="shared" si="6"/>
        <v>0</v>
      </c>
      <c r="Q19" s="825">
        <f t="shared" si="6"/>
        <v>398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1268</v>
      </c>
      <c r="AC19" s="824">
        <f t="shared" si="7"/>
        <v>237</v>
      </c>
      <c r="AD19" s="824">
        <f t="shared" si="7"/>
        <v>0</v>
      </c>
      <c r="AE19" s="824">
        <f t="shared" si="7"/>
        <v>0</v>
      </c>
      <c r="AF19" s="831">
        <f t="shared" si="7"/>
        <v>2619</v>
      </c>
      <c r="AG19" s="831">
        <f t="shared" si="7"/>
        <v>0</v>
      </c>
      <c r="AH19" s="831">
        <f t="shared" si="7"/>
        <v>107</v>
      </c>
      <c r="AI19" s="831">
        <f t="shared" si="7"/>
        <v>0</v>
      </c>
      <c r="AJ19" s="824">
        <f t="shared" si="7"/>
        <v>0</v>
      </c>
      <c r="AK19" s="831">
        <f t="shared" si="7"/>
        <v>0</v>
      </c>
      <c r="AL19" s="831">
        <f t="shared" si="7"/>
        <v>0</v>
      </c>
      <c r="AM19" s="831">
        <f t="shared" si="7"/>
        <v>6158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376</v>
      </c>
      <c r="BD19" s="823">
        <f t="shared" si="7"/>
        <v>1193</v>
      </c>
      <c r="BE19" s="823">
        <f t="shared" si="7"/>
        <v>0</v>
      </c>
      <c r="BF19" s="833">
        <f t="shared" si="7"/>
        <v>0</v>
      </c>
      <c r="BG19" s="918">
        <f>IF(ISNUMBER(Datos!K19/Datos!J19),Datos!K19/Datos!J19," - ")</f>
        <v>0.82951558392790081</v>
      </c>
      <c r="BH19" s="918">
        <f>IF(ISNUMBER(((Datos!L19/Datos!K19)*11)/factor_trimestre),((Datos!L19/Datos!K19)*11)/factor_trimestre," - ")</f>
        <v>9.1412403802625626</v>
      </c>
      <c r="BI19" s="816">
        <f>IF(ISNUMBER(Datos!J19/Datos!I19),Datos!J19/Datos!I19," - ")</f>
        <v>0.40532724505327244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-0.52723492723492726</v>
      </c>
      <c r="BM19" s="892">
        <f>IF(ISNUMBER((Datos!P19-Datos!Q19+R19)/(Datos!R19-Datos!P19+Datos!Q19-R19)),(Datos!P19-Datos!Q19+R19)/(Datos!R19-Datos!P19+Datos!Q19-R19)," - ")</f>
        <v>2.6846756711689179E-2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1131.2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2.6352313834736494</v>
      </c>
      <c r="F21" s="554">
        <f>IF(ISNUMBER(STDEV(F8:F18)),STDEV(F8:F18),"-")</f>
        <v>1344.6487769426383</v>
      </c>
      <c r="G21" s="555">
        <f>IF(ISNUMBER(STDEV(G8:G18)),STDEV(G8:G18),"-")</f>
        <v>1477.2363385728095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635.5872874751351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92.285787999380844</v>
      </c>
      <c r="BD21" s="554"/>
      <c r="BE21" s="554">
        <f>IF(ISNUMBER(STDEV(BE8:BE18)),STDEV(BE8:BE18),"-")</f>
        <v>0</v>
      </c>
      <c r="BF21" s="559">
        <f>IF(ISNUMBER(STDEV(BF8:BF18)),STDEV(BF8:BF18),"-")</f>
        <v>0</v>
      </c>
      <c r="BG21" s="778">
        <f>IF(ISNUMBER(STDEV(BG8:BG18)),STDEV(BG8:BG18),"-")</f>
        <v>0.23408262790272258</v>
      </c>
      <c r="BH21" s="779">
        <f>IF(ISNUMBER(STDEV(BH8:BH18)),STDEV(BH8:BH18),"-")</f>
        <v>22.826091834758945</v>
      </c>
      <c r="BI21" s="252">
        <f>IF(ISNUMBER(STDEV(BI8:BI18)),STDEV(BI8:BI18),"-")</f>
        <v>6.8664931488543926E-2</v>
      </c>
      <c r="BJ21" s="233" t="str">
        <f>IF(ISNUMBER(BL21/BM21),BL21/BM21," - ")</f>
        <v xml:space="preserve"> - </v>
      </c>
      <c r="BK21" s="578"/>
      <c r="BL21" s="562">
        <f>IF(ISNUMBER(STDEV(BL8:BL18)),STDEV(BL8:BL18),"-")</f>
        <v>0.34098291783053514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jsKESMkSXxZHbNedcCYUqTk7sVYYToJtkUqtlIjRuaw54wwJC8gI+5G8F6hkevVLgN1w8E2akGWwvicE3xIVNA==" saltValue="1jSFgitXUufDfzWrc0hK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CASTELLON-CASTELLO  Resumenes por Partidos Judiciales  VINARÒS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38</v>
      </c>
      <c r="G10" s="228">
        <f>IF(ISNUMBER(Datos!I10),Datos!I10," - ")</f>
        <v>38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42</v>
      </c>
      <c r="AB10" s="337"/>
      <c r="AC10" s="337"/>
      <c r="AD10" s="487"/>
      <c r="AE10" s="487">
        <f>IF(ISNUMBER(Datos!R10),Datos!R10," - ")</f>
        <v>24</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5</v>
      </c>
      <c r="B12" s="510" t="s">
        <v>249</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339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220</v>
      </c>
      <c r="AA12" s="335" t="str">
        <f>IF(ISNUMBER(IF(J_V="SI",Datos!L12,Datos!L12+Datos!AB12)-IF(Monitorios="SI",Datos!CD12,0)),
                          IF(J_V="SI",Datos!L12,Datos!L12+Datos!AB12)-IF(Monitorios="SI",Datos!CD12,0),
                          " - ")</f>
        <v xml:space="preserve"> - </v>
      </c>
      <c r="AB12" s="337"/>
      <c r="AC12" s="337"/>
      <c r="AD12" s="487"/>
      <c r="AE12" s="487">
        <f>IF(ISNUMBER(Datos!R12),Datos!R12," - ")</f>
        <v>5793</v>
      </c>
      <c r="AF12" s="232" t="str">
        <f>IF(ISNUMBER(Datos!BV12),Datos!BV12," - ")</f>
        <v xml:space="preserve"> - </v>
      </c>
      <c r="AG12" s="228" t="str">
        <f>IF(ISNUMBER(Datos!DV12),Datos!DV12," - ")</f>
        <v xml:space="preserve"> - </v>
      </c>
      <c r="AH12" s="301"/>
      <c r="AI12" s="230"/>
      <c r="AJ12" s="228">
        <f>IF(ISNUMBER(Datos!M12),Datos!M12," - ")</f>
        <v>210</v>
      </c>
      <c r="AK12" s="232">
        <f>IF(ISNUMBER(Datos!N12),Datos!N12," - ")</f>
        <v>323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12.544103072348861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2.0972858653507225E-2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5</v>
      </c>
      <c r="F13" s="901">
        <f>SUBTOTAL(9,F8:F12)</f>
        <v>38</v>
      </c>
      <c r="G13" s="901">
        <f>SUBTOTAL(9,G8:G12)</f>
        <v>38</v>
      </c>
      <c r="H13" s="911"/>
      <c r="I13" s="901">
        <f t="shared" ref="I13:N13" si="0">SUBTOTAL(9,I8:I12)</f>
        <v>0</v>
      </c>
      <c r="J13" s="870">
        <f t="shared" si="0"/>
        <v>0</v>
      </c>
      <c r="K13" s="911">
        <f t="shared" si="0"/>
        <v>0</v>
      </c>
      <c r="L13" s="911">
        <f t="shared" si="0"/>
        <v>0</v>
      </c>
      <c r="M13" s="911">
        <f t="shared" si="0"/>
        <v>0</v>
      </c>
      <c r="N13" s="911">
        <f t="shared" si="0"/>
        <v>339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220</v>
      </c>
      <c r="AA13" s="903">
        <f t="shared" si="2"/>
        <v>42</v>
      </c>
      <c r="AB13" s="903">
        <f t="shared" si="2"/>
        <v>0</v>
      </c>
      <c r="AC13" s="903">
        <f t="shared" si="2"/>
        <v>0</v>
      </c>
      <c r="AD13" s="903">
        <f t="shared" si="2"/>
        <v>0</v>
      </c>
      <c r="AE13" s="903">
        <f t="shared" si="2"/>
        <v>5817</v>
      </c>
      <c r="AF13" s="911">
        <f t="shared" si="2"/>
        <v>0</v>
      </c>
      <c r="AG13" s="911">
        <f t="shared" si="2"/>
        <v>0</v>
      </c>
      <c r="AH13" s="911">
        <f t="shared" si="2"/>
        <v>0</v>
      </c>
      <c r="AI13" s="911">
        <f t="shared" si="2"/>
        <v>0</v>
      </c>
      <c r="AJ13" s="911">
        <f t="shared" si="2"/>
        <v>212</v>
      </c>
      <c r="AK13" s="911">
        <f t="shared" si="2"/>
        <v>323</v>
      </c>
      <c r="AL13" s="911">
        <f t="shared" si="2"/>
        <v>0</v>
      </c>
      <c r="AM13" s="911">
        <f t="shared" si="2"/>
        <v>0</v>
      </c>
      <c r="AN13" s="911">
        <f t="shared" si="2"/>
        <v>0</v>
      </c>
      <c r="AO13" s="907">
        <f>IF(ISNUMBER(((NºAsuntos!I13/NºAsuntos!G13)*11)/factor_trimestre),((NºAsuntos!I13/NºAsuntos!G13)*11)/factor_trimestre," - ")</f>
        <v>12.643916913946589</v>
      </c>
      <c r="AP13" s="913" t="str">
        <f>IF(ISNUMBER(Datos!CI13/Datos!CJ13),Datos!CI13/Datos!CJ13," - ")</f>
        <v xml:space="preserve"> - </v>
      </c>
      <c r="AQ13" s="931">
        <f t="shared" ref="AQ13:AV13" si="3">SUBTOTAL(9,AQ9:AQ12)</f>
        <v>0</v>
      </c>
      <c r="AR13" s="931">
        <f t="shared" si="3"/>
        <v>2.0972858653507225E-2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5</v>
      </c>
      <c r="B16" s="510" t="s">
        <v>400</v>
      </c>
      <c r="C16" s="163" t="str">
        <f>Datos!A16</f>
        <v xml:space="preserve">Jdos. 1ª Instª. e Instr.                        </v>
      </c>
      <c r="D16" s="505"/>
      <c r="E16" s="1171">
        <f>IF(ISNUMBER(Datos!AQ16),Datos!AQ16," - ")</f>
        <v>5</v>
      </c>
      <c r="F16" s="336">
        <f>IF(ISNUMBER(AA16+Y16-Datos!J16-K15),AA16+Y16-Datos!J16-K15," - ")</f>
        <v>2367</v>
      </c>
      <c r="G16" s="228">
        <f>IF(ISNUMBER(IF(D_I="SI",Datos!I16,Datos!I16+Datos!AC16)),IF(D_I="SI",Datos!I16,Datos!I16+Datos!AC16)," - ")</f>
        <v>2708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1132</v>
      </c>
      <c r="Z16" s="622">
        <f>IF(ISNUMBER(Datos!Q16),Datos!Q16," - ")</f>
        <v>17</v>
      </c>
      <c r="AA16" s="335">
        <f>IF(ISNUMBER(IF(D_I="SI",Datos!L16,Datos!L16+Datos!AF16)),IF(D_I="SI",Datos!L16,Datos!L16+Datos!AF16)," - ")</f>
        <v>2493</v>
      </c>
      <c r="AB16" s="337"/>
      <c r="AC16" s="337"/>
      <c r="AD16" s="487"/>
      <c r="AE16" s="487">
        <f>IF(ISNUMBER(Datos!R16),Datos!R16," - ")</f>
        <v>330</v>
      </c>
      <c r="AF16" s="232" t="str">
        <f>IF(ISNUMBER(Datos!BV16),Datos!BV16," - ")</f>
        <v xml:space="preserve"> - </v>
      </c>
      <c r="AG16" s="228"/>
      <c r="AH16" s="301"/>
      <c r="AI16" s="230"/>
      <c r="AJ16" s="228">
        <f>IF(ISNUMBER(Datos!M16),Datos!M16," - ")</f>
        <v>143</v>
      </c>
      <c r="AK16" s="232">
        <f>IF(ISNUMBER(Datos!N16),Datos!N16," - ")</f>
        <v>806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6.6068904593639575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134</v>
      </c>
      <c r="Z17" s="622">
        <f>IF(ISNUMBER(Datos!Q17),Datos!Q17," - ")</f>
        <v>0</v>
      </c>
      <c r="AA17" s="335">
        <f>IF(ISNUMBER(Datos!L17),Datos!L17,"-")</f>
        <v>84</v>
      </c>
      <c r="AB17" s="337"/>
      <c r="AC17" s="337"/>
      <c r="AD17" s="487"/>
      <c r="AE17" s="487">
        <f>IF(ISNUMBER(Datos!R17),Datos!R17," - ")</f>
        <v>11</v>
      </c>
      <c r="AF17" s="232" t="str">
        <f>IF(ISNUMBER(Datos!BV17),Datos!BV17," - ")</f>
        <v xml:space="preserve"> - </v>
      </c>
      <c r="AG17" s="228" t="str">
        <f>IF(ISNUMBER(Datos!DV17),Datos!DV17," - ")</f>
        <v xml:space="preserve"> - </v>
      </c>
      <c r="AH17" s="301"/>
      <c r="AI17" s="230"/>
      <c r="AJ17" s="228">
        <f>IF(ISNUMBER(Datos!M17),Datos!M17," - ")</f>
        <v>21</v>
      </c>
      <c r="AK17" s="232">
        <f>IF(ISNUMBER(Datos!N17),Datos!N17," - ")</f>
        <v>64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1.8805970149253732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2367</v>
      </c>
      <c r="G18" s="901">
        <f>SUBTOTAL(9,G15:G17)</f>
        <v>2790</v>
      </c>
      <c r="H18" s="935">
        <f>SUBTOTAL(9,H15:H17)</f>
        <v>0</v>
      </c>
      <c r="I18" s="914">
        <f>SUBTOTAL(9,I15:I17)</f>
        <v>0</v>
      </c>
      <c r="J18" s="870">
        <f>SUBTOTAL(9,J14:J17)</f>
        <v>0</v>
      </c>
      <c r="K18" s="935">
        <f t="shared" ref="K18:S18" si="4">SUBTOTAL(9,K15:K17)</f>
        <v>0</v>
      </c>
      <c r="L18" s="935">
        <f t="shared" si="4"/>
        <v>0</v>
      </c>
      <c r="M18" s="935">
        <f t="shared" si="4"/>
        <v>0</v>
      </c>
      <c r="N18" s="935">
        <f t="shared" si="4"/>
        <v>59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1266</v>
      </c>
      <c r="Z18" s="935">
        <f t="shared" si="5"/>
        <v>17</v>
      </c>
      <c r="AA18" s="935">
        <f t="shared" si="5"/>
        <v>2577</v>
      </c>
      <c r="AB18" s="935">
        <f t="shared" si="5"/>
        <v>0</v>
      </c>
      <c r="AC18" s="935">
        <f t="shared" si="5"/>
        <v>0</v>
      </c>
      <c r="AD18" s="935">
        <f t="shared" si="5"/>
        <v>0</v>
      </c>
      <c r="AE18" s="935">
        <f t="shared" si="5"/>
        <v>341</v>
      </c>
      <c r="AF18" s="935">
        <f t="shared" si="5"/>
        <v>0</v>
      </c>
      <c r="AG18" s="935">
        <f t="shared" si="5"/>
        <v>0</v>
      </c>
      <c r="AH18" s="935">
        <f t="shared" si="5"/>
        <v>0</v>
      </c>
      <c r="AI18" s="935">
        <f t="shared" si="5"/>
        <v>0</v>
      </c>
      <c r="AJ18" s="935">
        <f t="shared" si="5"/>
        <v>164</v>
      </c>
      <c r="AK18" s="935">
        <f t="shared" si="5"/>
        <v>870</v>
      </c>
      <c r="AL18" s="935">
        <f t="shared" si="5"/>
        <v>0</v>
      </c>
      <c r="AM18" s="935">
        <f t="shared" si="5"/>
        <v>0</v>
      </c>
      <c r="AN18" s="935">
        <f t="shared" si="5"/>
        <v>0</v>
      </c>
      <c r="AO18" s="937">
        <f>IF(ISNUMBER(((NºAsuntos!I18/NºAsuntos!G18)*11)/factor_trimestre),((NºAsuntos!I18/NºAsuntos!G18)*11)/factor_trimestre," - ")</f>
        <v>6.1066350710900474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2405</v>
      </c>
      <c r="G19" s="823">
        <f t="shared" si="7"/>
        <v>2828</v>
      </c>
      <c r="H19" s="824">
        <f t="shared" si="7"/>
        <v>0</v>
      </c>
      <c r="I19" s="823">
        <f t="shared" si="7"/>
        <v>0</v>
      </c>
      <c r="J19" s="825">
        <f t="shared" si="7"/>
        <v>0</v>
      </c>
      <c r="K19" s="823">
        <f t="shared" si="7"/>
        <v>0</v>
      </c>
      <c r="L19" s="826">
        <f t="shared" si="7"/>
        <v>0</v>
      </c>
      <c r="M19" s="823">
        <f t="shared" si="7"/>
        <v>0</v>
      </c>
      <c r="N19" s="824">
        <f t="shared" si="7"/>
        <v>398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1268</v>
      </c>
      <c r="Z19" s="830">
        <f t="shared" si="8"/>
        <v>237</v>
      </c>
      <c r="AA19" s="831">
        <f t="shared" si="8"/>
        <v>2619</v>
      </c>
      <c r="AB19" s="831">
        <f t="shared" si="8"/>
        <v>0</v>
      </c>
      <c r="AC19" s="831">
        <f t="shared" si="8"/>
        <v>0</v>
      </c>
      <c r="AD19" s="832">
        <f t="shared" si="8"/>
        <v>0</v>
      </c>
      <c r="AE19" s="832">
        <f t="shared" si="8"/>
        <v>6158</v>
      </c>
      <c r="AF19" s="833">
        <f t="shared" si="8"/>
        <v>0</v>
      </c>
      <c r="AG19" s="834">
        <f t="shared" si="8"/>
        <v>0</v>
      </c>
      <c r="AH19" s="835">
        <f t="shared" si="8"/>
        <v>0</v>
      </c>
      <c r="AI19" s="833">
        <f t="shared" si="8"/>
        <v>0</v>
      </c>
      <c r="AJ19" s="823">
        <f t="shared" si="8"/>
        <v>376</v>
      </c>
      <c r="AK19" s="823">
        <f t="shared" si="8"/>
        <v>1193</v>
      </c>
      <c r="AL19" s="823">
        <f t="shared" si="8"/>
        <v>0</v>
      </c>
      <c r="AM19" s="836">
        <f t="shared" si="8"/>
        <v>0</v>
      </c>
      <c r="AN19" s="826">
        <f>IF(ISNUMBER(Datos!K19/Datos!J19),Datos!K19/Datos!J19," - ")</f>
        <v>0.82951558392790081</v>
      </c>
      <c r="AO19" s="826">
        <f>IF(ISNUMBER(FIND("06",Criterios!A8,1)),(IF(ISNUMBER(((Datos!R19/Datos!Q19)*11)/factor_trimestre),((Datos!R19/Datos!Q19)*11)/factor_trimestre," - ")),(IF(ISNUMBER(((Datos!L19/Datos!K19)*11)/factor_trimestre),((Datos!L19/Datos!K19)*11)/factor_trimestre," - ")))</f>
        <v>9.1412403802625626</v>
      </c>
      <c r="AP19" s="837" t="str">
        <f>IF(ISNUMBER(Datos!CI19/Datos!CJ19),Datos!CI19/Datos!CJ19," - ")</f>
        <v xml:space="preserve"> - </v>
      </c>
      <c r="AQ19" s="837">
        <f>IF(OR(ISNUMBER(FIND("01",Criterios!A8,1)),ISNUMBER(FIND("02",Criterios!A8,1)),ISNUMBER(FIND("03",Criterios!A8,1)),ISNUMBER(FIND("04",Criterios!A8,1))),(J19-Y19+K19)/(F19-K19),(I19-Y19+K19)/(F19-K19))</f>
        <v>-0.52723492723492726</v>
      </c>
      <c r="AR19" s="837">
        <f>IF(ISNUMBER((Datos!P19-Datos!Q19+O19)/(Datos!R19-Datos!P19+Datos!Q19-O19)),(Datos!P19-Datos!Q19+O19)/(Datos!R19-Datos!P19+Datos!Q19-O19)," - ")</f>
        <v>2.6846756711689179E-2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1131.2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1344.6487769426383</v>
      </c>
      <c r="G21" s="555">
        <f>IF(ISNUMBER(STDEV(G8:G18)),STDEV(G8:G18),"-")</f>
        <v>1477.2363385728095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92.285787999380844</v>
      </c>
      <c r="AK21" s="255"/>
      <c r="AL21" s="255">
        <f>IF(ISNUMBER(STDEV(AL8:AL18)),STDEV(AL8:AL18),"-")</f>
        <v>0</v>
      </c>
      <c r="AM21" s="257">
        <f>IF(ISNUMBER(STDEV(AM8:AM18)),STDEV(AM8:AM18),"-")</f>
        <v>0</v>
      </c>
      <c r="AN21" s="542">
        <f>IF(ISNUMBER(STDEV(AN8:AN18)),STDEV(AN8:AN18),"-")</f>
        <v>0</v>
      </c>
      <c r="AO21" s="543">
        <f>IF(ISNUMBER(STDEV(AO8:AO18)),STDEV(AO8:AO18),"-")</f>
        <v>22.847349918457901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KVKj1iT+t2dFefoQZUz66ZF+wvJLuMvdr8xtUr6l/zduXX/qy5c8P928uD2NBZTzAsqLaHI+2+WZKkVNLnY4sQ==" saltValue="JAoLVynGxHzROB4PWgHA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BgSkCI9Dlhno7j6Kvc3M7bCHo6AmXt9NSr8vo8nAqhUYKuIBlz1RuCGqFjT73ybrajBCyBE4dPxWoVd8yQqEMw==" saltValue="ROd6lpSkC+2d+LYrSsMZ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TC3VHJKBYi4MLuObI7Qe/YnPku+wQtcHpJHDpvnaF+F2nR9LbNcmBY85TGViCSS0kmFDDZd7tbyizgADD4j7w==" saltValue="gmkxmQDxr6PFzSlz7f28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CASTELLON-CASTELLO  Resumenes por Partidos Judiciales  VINARÒS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0.20969337289812068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0.14827560594614053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mkXiwo9+TM7+ht0EY+E/RI+BSSYASOqaB9jALI+wWm8+WV4LvFFYa5IOVMFVysnJ1vFZuT8VuDi/OgBehjwUXw==" saltValue="STDKidx+xo/9nOvxiRtdR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Ho3Zzt0ilMACkN+Hw5neAGVjgN820/HFZEnzBMT4+CJiGztrYb2iAHBd0JdRxai+T1XnPVcyi9eiV8un6lFjbw==" saltValue="0l70SpAcM8oH7C32GTcN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CASTELLON-CASTELLO</v>
      </c>
      <c r="D3" s="378"/>
      <c r="E3" s="378"/>
      <c r="F3" s="378"/>
    </row>
    <row r="4" spans="1:14" ht="13.5" thickBot="1">
      <c r="A4" s="378"/>
      <c r="B4" s="394" t="str">
        <f>Criterios!A11 &amp;"  "&amp;Criterios!B11</f>
        <v>Resumenes por Partidos Judiciales  VINARÒS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38</v>
      </c>
      <c r="D10" s="407">
        <f>IF(ISNUMBER(C10/Datos!BH10),C10/Datos!BH10," - ")</f>
        <v>38</v>
      </c>
      <c r="E10" s="406">
        <f>IF(ISNUMBER(Datos!J10),Datos!J10," - ")</f>
        <v>6</v>
      </c>
      <c r="F10" s="407">
        <f>IF(ISNUMBER(E10/B10),E10/B10," - ")</f>
        <v>6</v>
      </c>
      <c r="G10" s="406">
        <f>IF(ISNUMBER(Datos!K10),Datos!K10," - ")</f>
        <v>2</v>
      </c>
      <c r="H10" s="407">
        <f>IF(ISNUMBER(G10/B10),G10/B10," - ")</f>
        <v>2</v>
      </c>
      <c r="I10" s="406">
        <f>IF(ISNUMBER(Datos!L10),Datos!L10," - ")</f>
        <v>42</v>
      </c>
      <c r="J10" s="407">
        <f>IF(ISNUMBER(I10/B10),I10/B10," - ")</f>
        <v>42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3815</v>
      </c>
      <c r="D12" s="407">
        <f>IF(ISNUMBER(C12/Datos!BH12),C12/Datos!BH12," - ")</f>
        <v>763</v>
      </c>
      <c r="E12" s="406">
        <f>IF(ISNUMBER(IF(J_V="SI",Datos!J12,Datos!J12+Datos!Z12)),IF(J_V="SI",Datos!J12,Datos!J12+Datos!Z12)," - ")</f>
        <v>1339</v>
      </c>
      <c r="F12" s="407">
        <f>IF(ISNUMBER(E12/B12),E12/B12," - ")</f>
        <v>267.8</v>
      </c>
      <c r="G12" s="406">
        <f>IF(ISNUMBER(IF(J_V="SI",Datos!K12,Datos!K12+Datos!AA12)),IF(J_V="SI",Datos!K12,Datos!K12+Datos!AA12)," - ")</f>
        <v>1009</v>
      </c>
      <c r="H12" s="407">
        <f>IF(ISNUMBER(G12/B12),G12/B12," - ")</f>
        <v>201.8</v>
      </c>
      <c r="I12" s="406">
        <f>IF(ISNUMBER(IF(J_V="SI",Datos!L12,Datos!L12+Datos!AB12)),IF(J_V="SI",Datos!L12,Datos!L12+Datos!AB12)," - ")</f>
        <v>4219</v>
      </c>
      <c r="J12" s="407">
        <f>IF(ISNUMBER(I12/B12),I12/B12," - ")</f>
        <v>843.8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3853</v>
      </c>
      <c r="D13" s="853" t="str">
        <f>IF(ISNUMBER(C13/Datos!BI13),C13/Datos!BI13," - ")</f>
        <v xml:space="preserve"> - </v>
      </c>
      <c r="E13" s="852">
        <f>SUBTOTAL(9,E8:E12)</f>
        <v>1345</v>
      </c>
      <c r="F13" s="853">
        <f>IF(ISNUMBER(E13/B13),E13/B13," - ")</f>
        <v>269</v>
      </c>
      <c r="G13" s="852">
        <f>SUBTOTAL(9,G8:G12)</f>
        <v>1011</v>
      </c>
      <c r="H13" s="853">
        <f>IF(ISNUMBER(G13/B13),G13/B13," - ")</f>
        <v>202.2</v>
      </c>
      <c r="I13" s="852">
        <f>SUBTOTAL(9,I8:I12)</f>
        <v>4261</v>
      </c>
      <c r="J13" s="853">
        <f>IF(ISNUMBER(I13/B13),I13/B13," - ")</f>
        <v>852.2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2708</v>
      </c>
      <c r="D16" s="407">
        <f>IF(ISNUMBER(C16/Datos!BH16),C16/Datos!BH16," - ")</f>
        <v>541.6</v>
      </c>
      <c r="E16" s="406">
        <f>IF(ISNUMBER(IF(D_I="SI",Datos!J16,Datos!J16+Datos!AD16)),IF(D_I="SI",Datos!J16,Datos!J16+Datos!AD16)," - ")</f>
        <v>1258</v>
      </c>
      <c r="F16" s="407">
        <f>IF(ISNUMBER(E16/B16),E16/B16," - ")</f>
        <v>251.6</v>
      </c>
      <c r="G16" s="406">
        <f>IF(ISNUMBER(IF(D_I="SI",Datos!K16,Datos!K16+Datos!AE16)),IF(D_I="SI",Datos!K16,Datos!K16+Datos!AE16)," - ")</f>
        <v>1132</v>
      </c>
      <c r="H16" s="407">
        <f>IF(ISNUMBER(G16/B16),G16/B16," - ")</f>
        <v>226.4</v>
      </c>
      <c r="I16" s="406">
        <f>IF(ISNUMBER(IF(D_I="SI",Datos!L16,Datos!L16+Datos!AF16)),IF(D_I="SI",Datos!L16,Datos!L16+Datos!AF16)," - ")</f>
        <v>2493</v>
      </c>
      <c r="J16" s="407">
        <f>IF(ISNUMBER(I16/B16),I16/B16," - ")</f>
        <v>498.6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82</v>
      </c>
      <c r="D17" s="407">
        <f>IF(ISNUMBER(C17/Datos!BH17),C17/Datos!BH17," - ")</f>
        <v>82</v>
      </c>
      <c r="E17" s="406">
        <f>IF(ISNUMBER(IF(D_I="SI",Datos!J17,Datos!J17+Datos!AD17)),IF(D_I="SI",Datos!J17,Datos!J17+Datos!AD17)," - ")</f>
        <v>136</v>
      </c>
      <c r="F17" s="407">
        <f>IF(ISNUMBER(E17/B17),E17/B17," - ")</f>
        <v>136</v>
      </c>
      <c r="G17" s="406">
        <f>IF(ISNUMBER(IF(D_I="SI",Datos!K17,Datos!K17+Datos!AE17)),IF(D_I="SI",Datos!K17,Datos!K17+Datos!AE17)," - ")</f>
        <v>134</v>
      </c>
      <c r="H17" s="407">
        <f>IF(ISNUMBER(G17/B17),G17/B17," - ")</f>
        <v>134</v>
      </c>
      <c r="I17" s="406">
        <f>IF(ISNUMBER(IF(D_I="SI",Datos!L17,Datos!L17+Datos!AF17)),IF(D_I="SI",Datos!L17,Datos!L17+Datos!AF17)," - ")</f>
        <v>84</v>
      </c>
      <c r="J17" s="407">
        <f>IF(ISNUMBER(I17/B17),I17/B17," - ")</f>
        <v>84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2790</v>
      </c>
      <c r="D18" s="853" t="str">
        <f>IF(ISNUMBER(C18/Datos!BI18),C18/Datos!BI18," - ")</f>
        <v xml:space="preserve"> - </v>
      </c>
      <c r="E18" s="852">
        <f>SUBTOTAL(9,E14:E17)</f>
        <v>1394</v>
      </c>
      <c r="F18" s="853">
        <f>IF(ISNUMBER(E18/B18),E18/B18," - ")</f>
        <v>278.8</v>
      </c>
      <c r="G18" s="852">
        <f>SUBTOTAL(9,G14:G17)</f>
        <v>1266</v>
      </c>
      <c r="H18" s="853">
        <f>IF(ISNUMBER(G18/B18),G18/B18," - ")</f>
        <v>253.2</v>
      </c>
      <c r="I18" s="852">
        <f>SUBTOTAL(9,I14:I17)</f>
        <v>2577</v>
      </c>
      <c r="J18" s="853">
        <f>IF(ISNUMBER(I18/B18),I18/B18," - ")</f>
        <v>515.4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6643</v>
      </c>
      <c r="D19" s="798" t="str">
        <f>IF(ISNUMBER(C19/Datos!BI19),C19/Datos!BI19," - ")</f>
        <v xml:space="preserve"> - </v>
      </c>
      <c r="E19" s="797">
        <f>SUBTOTAL(9,E9:E18)</f>
        <v>2739</v>
      </c>
      <c r="F19" s="798">
        <f>IF(ISNUMBER(E19/B19),E19/B19," - ")</f>
        <v>547.79999999999995</v>
      </c>
      <c r="G19" s="797">
        <f>SUBTOTAL(9,G9:G18)</f>
        <v>2277</v>
      </c>
      <c r="H19" s="798">
        <f>IF(ISNUMBER(G19/B19),G19/B19," - ")</f>
        <v>455.4</v>
      </c>
      <c r="I19" s="797">
        <f>SUBTOTAL(9,I9:I18)</f>
        <v>6838</v>
      </c>
      <c r="J19" s="798">
        <f>IF(ISNUMBER(I19/B19),I19/B19," - ")</f>
        <v>1367.6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CdSsOcKBuObutaTQN753+4U8OlIZbLVOyMecdgqO3t4SsgYUojZFO6mNC3GkPzfOiX57qhb7l2mOTvU54gU66Q==" saltValue="V8xwKTu1WdyZttD71TYBS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CASTELLON-CASTELLO  Resumenes por Partidos Judiciales  VINARÒS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38</v>
      </c>
      <c r="G10" s="687">
        <f>IF(ISNUMBER(Datos!I10),Datos!I10," - ")</f>
        <v>38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42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63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249</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339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220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5793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210</v>
      </c>
      <c r="AM12" s="693">
        <f>IF(ISNUMBER(Datos!N12+DatosP!N16),Datos!N12+DatosP!N16," - ")</f>
        <v>323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12.544103072348861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2.0972858653507225E-2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38</v>
      </c>
      <c r="G13" s="941">
        <f t="shared" si="0"/>
        <v>38</v>
      </c>
      <c r="H13" s="941">
        <f t="shared" si="0"/>
        <v>0</v>
      </c>
      <c r="I13" s="943">
        <f t="shared" si="0"/>
        <v>0</v>
      </c>
      <c r="J13" s="942">
        <f t="shared" si="0"/>
        <v>0</v>
      </c>
      <c r="K13" s="942">
        <f t="shared" si="0"/>
        <v>0</v>
      </c>
      <c r="L13" s="944">
        <f t="shared" si="0"/>
        <v>0</v>
      </c>
      <c r="M13" s="944">
        <f t="shared" si="0"/>
        <v>0</v>
      </c>
      <c r="N13" s="942">
        <f t="shared" si="0"/>
        <v>339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220</v>
      </c>
      <c r="AE13" s="942">
        <f t="shared" si="1"/>
        <v>0</v>
      </c>
      <c r="AF13" s="942">
        <f t="shared" si="1"/>
        <v>42</v>
      </c>
      <c r="AG13" s="942">
        <f t="shared" si="1"/>
        <v>0</v>
      </c>
      <c r="AH13" s="942">
        <f t="shared" si="1"/>
        <v>5793</v>
      </c>
      <c r="AI13" s="942">
        <f t="shared" si="1"/>
        <v>0</v>
      </c>
      <c r="AJ13" s="942">
        <f t="shared" si="1"/>
        <v>0</v>
      </c>
      <c r="AK13" s="942">
        <f t="shared" si="1"/>
        <v>0</v>
      </c>
      <c r="AL13" s="942">
        <f t="shared" si="1"/>
        <v>212</v>
      </c>
      <c r="AM13" s="942">
        <f t="shared" si="1"/>
        <v>323</v>
      </c>
      <c r="AN13" s="942">
        <f t="shared" si="1"/>
        <v>0</v>
      </c>
      <c r="AO13" s="942">
        <f t="shared" si="1"/>
        <v>0</v>
      </c>
      <c r="AP13" s="947">
        <f>IF(ISNUMBER(((Datos!L13/Datos!K13)*11)/factor_trimestre),((Datos!L13/Datos!K13)*11)/factor_trimestre," - ")</f>
        <v>13.215270413573704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-5.2631578947368418E-2</v>
      </c>
      <c r="AU13" s="942" t="str">
        <f>IF(ISNUMBER((DatosP!#REF!-DatosP!#REF!+DatosP!#REF!)/(DatosP!#REF!+DatosP!#REF!-DatosP!#REF!-DatosP!#REF!)),(DatosP!#REF!-DatosP!#REF!+DatosP!#REF!)/(DatosP!#REF!+DatosP!#REF!-DatosP!#REF!-DatosP!#REF!)," - ")</f>
        <v xml:space="preserve"> - </v>
      </c>
      <c r="AV13" s="948">
        <f>SUBTOTAL(9,AV9:AV12)</f>
        <v>2.0972858653507225E-2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6.1066350710900474</v>
      </c>
      <c r="AQ18" s="947">
        <f>IF(ISNUMBER(((Datos!M18/Datos!L18)*11)/factor_trimestre),((Datos!M18/Datos!L18)*11)/factor_trimestre," - ")</f>
        <v>0.19091967403958091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0.14046822742474915</v>
      </c>
      <c r="AW18" s="949">
        <f>IF(ISNUMBER((Datos!Q18-Datos!R18)/(Datos!S18-Datos!Q18+Datos!R18)),(Datos!Q18-Datos!R18)/(Datos!S18-Datos!Q18+Datos!R18)," - ")</f>
        <v>-0.11234396671289876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38</v>
      </c>
      <c r="G19" s="954">
        <f t="shared" si="4"/>
        <v>38</v>
      </c>
      <c r="H19" s="954">
        <f t="shared" si="4"/>
        <v>0</v>
      </c>
      <c r="I19" s="955">
        <f t="shared" si="4"/>
        <v>0</v>
      </c>
      <c r="J19" s="956">
        <f t="shared" si="4"/>
        <v>0</v>
      </c>
      <c r="K19" s="956">
        <f t="shared" si="4"/>
        <v>0</v>
      </c>
      <c r="L19" s="956">
        <f t="shared" si="4"/>
        <v>0</v>
      </c>
      <c r="M19" s="956">
        <f t="shared" si="4"/>
        <v>0</v>
      </c>
      <c r="N19" s="955">
        <f t="shared" si="4"/>
        <v>339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220</v>
      </c>
      <c r="AE19" s="960">
        <f t="shared" si="5"/>
        <v>0</v>
      </c>
      <c r="AF19" s="961">
        <f t="shared" si="5"/>
        <v>42</v>
      </c>
      <c r="AG19" s="961">
        <f t="shared" si="5"/>
        <v>0</v>
      </c>
      <c r="AH19" s="961">
        <f t="shared" si="5"/>
        <v>5793</v>
      </c>
      <c r="AI19" s="961">
        <f t="shared" si="5"/>
        <v>0</v>
      </c>
      <c r="AJ19" s="962">
        <f t="shared" si="5"/>
        <v>0</v>
      </c>
      <c r="AK19" s="962">
        <f t="shared" si="5"/>
        <v>0</v>
      </c>
      <c r="AL19" s="954">
        <f t="shared" si="5"/>
        <v>212</v>
      </c>
      <c r="AM19" s="954">
        <f t="shared" si="5"/>
        <v>323</v>
      </c>
      <c r="AN19" s="954">
        <f t="shared" si="5"/>
        <v>0</v>
      </c>
      <c r="AO19" s="954">
        <f t="shared" si="5"/>
        <v>0</v>
      </c>
      <c r="AP19" s="954">
        <f>IF(ISNUMBER(((Datos!L19/Datos!K19)*11)/factor_trimestre),((Datos!L19/Datos!K19)*11)/factor_trimestre," - ")</f>
        <v>9.1412403802625626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-5.2631578947368418E-2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2.6846756711689179E-2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25.333333333333332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2.5819888974716112</v>
      </c>
      <c r="F21" s="739">
        <f>IF(ISNUMBER(STDEV(F8:F18)),STDEV(F8:F18),"-")</f>
        <v>21.93931022920578</v>
      </c>
      <c r="G21" s="740">
        <f>IF(ISNUMBER(STDEV(G8:G18)),STDEV(G8:G18),"-")</f>
        <v>21.93931022920578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121.24905497913514</v>
      </c>
      <c r="AM21" s="739"/>
      <c r="AN21" s="739">
        <f>IF(ISNUMBER(STDEV(AN8:AN18)),STDEV(AN8:AN18),"-")</f>
        <v>0</v>
      </c>
      <c r="AO21" s="745">
        <f>IF(ISNUMBER(STDEV(AO8:AO18)),STDEV(AO8:AO18),"-")</f>
        <v>0</v>
      </c>
      <c r="AP21" s="782">
        <f>IF(ISNUMBER(STDEV(AP8:AP18)),STDEV(AP8:AP18),"-")</f>
        <v>26.384332415281726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BvmwCzqm4IccCfGLDS5MjJxPL8Hd4H8ICOVC6tLWzeMCuOKPRKJTp4TH5jh4jbPhvOpV1ZssedzrDUd7FfPpcg==" saltValue="jW+teMj/dRIuBev2/aVD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221</v>
      </c>
      <c r="B3" s="394" t="str">
        <f>Criterios!A10 &amp;"  "&amp;Criterios!B10</f>
        <v>Provincias  CASTELLON-CASTELLO</v>
      </c>
      <c r="C3" s="418"/>
      <c r="F3" s="378"/>
      <c r="G3" s="378"/>
      <c r="H3" s="378"/>
    </row>
    <row r="4" spans="1:15" ht="13.5" thickBot="1">
      <c r="A4" s="378"/>
      <c r="B4" s="394" t="str">
        <f>Criterios!A11 &amp;"  "&amp;Criterios!B11</f>
        <v>Resumenes por Partidos Judiciales  VINARÒS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17xUgGZgW/QcNuvUoW34aPMM392r4ag5cM6sVuYVVTbz7Tx4/8VHdCsq8hT4MHxpIyqQXLsZ9gU2mxgZwb0mrw==" saltValue="wlek9r8Lq+MhSrBOtpMs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CASTELLON-CASTELLO</v>
      </c>
      <c r="C3" s="394"/>
      <c r="D3" s="428"/>
    </row>
    <row r="4" spans="1:9" ht="13.5" thickBot="1">
      <c r="B4" s="394" t="str">
        <f>Criterios!A11 &amp;"  "&amp;Criterios!B11</f>
        <v>Resumenes por Partidos Judiciales  VINARÒS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210</v>
      </c>
      <c r="E12" s="407">
        <f t="shared" si="0"/>
        <v>42</v>
      </c>
      <c r="F12" s="406">
        <f>IF(ISNUMBER(Datos!N12),Datos!N12," - ")</f>
        <v>323</v>
      </c>
      <c r="G12" s="407">
        <f t="shared" si="1"/>
        <v>64.599999999999994</v>
      </c>
      <c r="H12" s="406">
        <f>IF(ISNUMBER(Datos!O12),Datos!O12," - ")</f>
        <v>598</v>
      </c>
      <c r="I12" s="407">
        <f t="shared" si="2"/>
        <v>119.6</v>
      </c>
    </row>
    <row r="13" spans="1:9" ht="14.25" thickTop="1" thickBot="1">
      <c r="A13" s="851" t="str">
        <f>Datos!A13</f>
        <v>TOTAL</v>
      </c>
      <c r="B13" s="852">
        <f>Datos!AO13</f>
        <v>6</v>
      </c>
      <c r="C13" s="854">
        <f>Datos!AR13</f>
        <v>5</v>
      </c>
      <c r="D13" s="852">
        <f>SUBTOTAL(9,D9:D12)</f>
        <v>212</v>
      </c>
      <c r="E13" s="853">
        <f t="shared" si="0"/>
        <v>35.333333333333336</v>
      </c>
      <c r="F13" s="852">
        <f>SUBTOTAL(9,F9:F12)</f>
        <v>323</v>
      </c>
      <c r="G13" s="853">
        <f t="shared" si="1"/>
        <v>53.833333333333336</v>
      </c>
      <c r="H13" s="852">
        <f>SUBTOTAL(9,H9:H12)</f>
        <v>598</v>
      </c>
      <c r="I13" s="853">
        <f>IF(ISNUMBER(H13/B13),H13/B13," - ")</f>
        <v>99.666666666666671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143</v>
      </c>
      <c r="E16" s="407">
        <f t="shared" si="3"/>
        <v>28.6</v>
      </c>
      <c r="F16" s="406">
        <f>IF(ISNUMBER(Datos!N16),Datos!N16," - ")</f>
        <v>806</v>
      </c>
      <c r="G16" s="407">
        <f t="shared" si="4"/>
        <v>161.19999999999999</v>
      </c>
      <c r="H16" s="406">
        <f>IF(ISNUMBER(Datos!O16),Datos!O16," - ")</f>
        <v>13</v>
      </c>
      <c r="I16" s="407">
        <f t="shared" si="5"/>
        <v>2.6</v>
      </c>
    </row>
    <row r="17" spans="1:9" ht="13.5" thickBot="1">
      <c r="A17" s="405" t="str">
        <f>Datos!A17</f>
        <v>Jdos. Violencia contra la mujer</v>
      </c>
      <c r="B17" s="430">
        <f>Datos!AO17</f>
        <v>1</v>
      </c>
      <c r="C17" s="431">
        <f>Datos!AQ17</f>
        <v>0</v>
      </c>
      <c r="D17" s="406">
        <f>IF(ISNUMBER(Datos!M17),Datos!M17," - ")</f>
        <v>21</v>
      </c>
      <c r="E17" s="407">
        <f>IF(ISNUMBER(D17/B17),D17/B17," - ")</f>
        <v>21</v>
      </c>
      <c r="F17" s="406">
        <f>IF(ISNUMBER(Datos!N17),Datos!N17," - ")</f>
        <v>64</v>
      </c>
      <c r="G17" s="407">
        <f>IF(ISNUMBER(F17/B17),F17/B17," - ")</f>
        <v>64</v>
      </c>
      <c r="H17" s="406">
        <f>IF(ISNUMBER(Datos!O17),Datos!O17," - ")</f>
        <v>0</v>
      </c>
      <c r="I17" s="407">
        <f t="shared" si="5"/>
        <v>0</v>
      </c>
    </row>
    <row r="18" spans="1:9" ht="14.25" thickTop="1" thickBot="1">
      <c r="A18" s="851" t="str">
        <f>Datos!A18</f>
        <v>TOTAL</v>
      </c>
      <c r="B18" s="852">
        <f>Datos!AO18</f>
        <v>6</v>
      </c>
      <c r="C18" s="854">
        <f>Datos!AR18</f>
        <v>5</v>
      </c>
      <c r="D18" s="852">
        <f>SUBTOTAL(9,D15:D17)</f>
        <v>164</v>
      </c>
      <c r="E18" s="853">
        <f t="shared" si="3"/>
        <v>27.333333333333332</v>
      </c>
      <c r="F18" s="852">
        <f>SUBTOTAL(9,F15:F17)</f>
        <v>870</v>
      </c>
      <c r="G18" s="853">
        <f t="shared" si="4"/>
        <v>145</v>
      </c>
      <c r="H18" s="852">
        <f>SUBTOTAL(9,H15:H17)</f>
        <v>13</v>
      </c>
      <c r="I18" s="853">
        <f>IF(ISNUMBER(H18/B18),H18/B18," - ")</f>
        <v>2.1666666666666665</v>
      </c>
    </row>
    <row r="19" spans="1:9" ht="14.25" thickTop="1" thickBot="1">
      <c r="A19" s="796" t="str">
        <f>Datos!A19</f>
        <v>TOTAL JURISDICCIONES</v>
      </c>
      <c r="B19" s="797">
        <f>Datos!AP19</f>
        <v>5</v>
      </c>
      <c r="C19" s="797">
        <f>Datos!AR19</f>
        <v>5</v>
      </c>
      <c r="D19" s="797">
        <f>SUBTOTAL(9,D8:D18)</f>
        <v>376</v>
      </c>
      <c r="E19" s="798">
        <f>IF(ISNUMBER(D19/B19),D19/B19," - ")</f>
        <v>75.2</v>
      </c>
      <c r="F19" s="797">
        <f>SUBTOTAL(9,F8:F18)</f>
        <v>1193</v>
      </c>
      <c r="G19" s="798">
        <f>IF(ISNUMBER(F19/B19),F19/B19," - ")</f>
        <v>238.6</v>
      </c>
      <c r="H19" s="797">
        <f>SUBTOTAL(9,H8:H18)</f>
        <v>611</v>
      </c>
      <c r="I19" s="798">
        <f>IF(ISNUMBER(H19/B19),H19/B19," - ")</f>
        <v>122.2</v>
      </c>
    </row>
    <row r="22" spans="1:9">
      <c r="A22" s="394" t="str">
        <f>Criterios!A4</f>
        <v>Fecha Informe: 07 mar. 2024</v>
      </c>
    </row>
    <row r="27" spans="1:9">
      <c r="A27" s="417"/>
    </row>
  </sheetData>
  <sheetProtection algorithmName="SHA-512" hashValue="vGOAdRSMiZmqrWjU1YolSRynSS0N5q/4qL+5V4aNn1ZTBt4phyqlmcCuTsoH8yx8e0pHl9a6Ms6Ozd/OHEiD8A==" saltValue="Isb5rFElz0ynfKhzbbFX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CASTELLON-CASTELLO</v>
      </c>
    </row>
    <row r="4" spans="1:4" ht="13.5" thickBot="1">
      <c r="B4" s="394" t="str">
        <f>Criterios!A11 &amp;"  "&amp;Criterios!B11</f>
        <v>Resumenes por Partidos Judiciales  VINARÒS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24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339</v>
      </c>
      <c r="C12" s="437">
        <f>IF(ISNUMBER(Datos!Q12),Datos!Q12," - ")</f>
        <v>220</v>
      </c>
      <c r="D12" s="411">
        <f>IF(ISNUMBER(Datos!R12),Datos!R12," - ")</f>
        <v>5793</v>
      </c>
    </row>
    <row r="13" spans="1:4" ht="14.25" thickTop="1" thickBot="1">
      <c r="A13" s="851" t="str">
        <f>Datos!A13</f>
        <v>TOTAL</v>
      </c>
      <c r="B13" s="852">
        <f>SUBTOTAL(9,B9:B12)</f>
        <v>339</v>
      </c>
      <c r="C13" s="856">
        <f>SUBTOTAL(9,C9:C12)</f>
        <v>220</v>
      </c>
      <c r="D13" s="854">
        <f>SUBTOTAL(9,D9:D12)</f>
        <v>5817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57</v>
      </c>
      <c r="C16" s="437">
        <f>IF(ISNUMBER(Datos!Q16),Datos!Q16," - ")</f>
        <v>17</v>
      </c>
      <c r="D16" s="411">
        <f>IF(ISNUMBER(Datos!R16),Datos!R16," - ")</f>
        <v>330</v>
      </c>
    </row>
    <row r="17" spans="1:4" ht="13.5" thickBot="1">
      <c r="A17" s="405" t="str">
        <f>Datos!A17</f>
        <v>Jdos. Violencia contra la mujer</v>
      </c>
      <c r="B17" s="436">
        <f>IF(ISNUMBER(Datos!P17),Datos!P17," - ")</f>
        <v>2</v>
      </c>
      <c r="C17" s="437">
        <f>IF(ISNUMBER(Datos!Q17),Datos!Q17," - ")</f>
        <v>0</v>
      </c>
      <c r="D17" s="411">
        <f>IF(ISNUMBER(Datos!R17),Datos!R17," - ")</f>
        <v>11</v>
      </c>
    </row>
    <row r="18" spans="1:4" ht="14.25" thickTop="1" thickBot="1">
      <c r="A18" s="851" t="str">
        <f>Datos!A18</f>
        <v>TOTAL</v>
      </c>
      <c r="B18" s="852">
        <f>SUBTOTAL(9,B15:B17)</f>
        <v>59</v>
      </c>
      <c r="C18" s="856">
        <f>SUBTOTAL(9,C15:C17)</f>
        <v>17</v>
      </c>
      <c r="D18" s="854">
        <f>SUBTOTAL(9,D15:D17)</f>
        <v>341</v>
      </c>
    </row>
    <row r="19" spans="1:4" ht="16.5" customHeight="1" thickTop="1" thickBot="1">
      <c r="A19" s="796" t="str">
        <f>Datos!A19</f>
        <v>TOTAL JURISDICCIONES</v>
      </c>
      <c r="B19" s="801">
        <f>SUBTOTAL(9,B8:B18)</f>
        <v>398</v>
      </c>
      <c r="C19" s="802">
        <f>SUBTOTAL(9,C8:C18)</f>
        <v>237</v>
      </c>
      <c r="D19" s="803">
        <f>SUBTOTAL(9,D8:D18)</f>
        <v>6158</v>
      </c>
    </row>
    <row r="20" spans="1:4" ht="7.5" customHeight="1"/>
    <row r="21" spans="1:4" ht="6" customHeight="1"/>
    <row r="22" spans="1:4">
      <c r="A22" s="394" t="str">
        <f>Criterios!A4</f>
        <v>Fecha Informe: 07 mar. 2024</v>
      </c>
    </row>
    <row r="27" spans="1:4">
      <c r="A27" s="417"/>
    </row>
  </sheetData>
  <sheetProtection algorithmName="SHA-512" hashValue="uIyuGPdo65bqQEvKkzdhtmveRJodOAHvtE77ajjr3qztm0eGobE8xQSzO4ET7KariZt5/ONKbOyXM3JnfaxOlg==" saltValue="uTvuopUvHJtsmdJ4pndE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CASTELLON-CASTELLO</v>
      </c>
    </row>
    <row r="4" spans="1:11" ht="10.5" customHeight="1" thickBot="1">
      <c r="B4" s="394" t="str">
        <f>Criterios!A11 &amp;"  "&amp;Criterios!B11</f>
        <v>Resumenes por Partidos Judiciales  VINARÒS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f>IF(ISNUMBER((Datos!J10-Datos!T10)/Datos!T10),(Datos!J10-Datos!T10)/Datos!T10," - ")</f>
        <v>0.2</v>
      </c>
      <c r="D10" s="459">
        <f>IF(ISNUMBER((Datos!K10-Datos!U10)/Datos!U10),(Datos!K10-Datos!U10)/Datos!U10," - ")</f>
        <v>-0.33333333333333331</v>
      </c>
      <c r="E10" s="459">
        <f>IF(ISNUMBER((Datos!L10-Datos!V10)/Datos!V10),(Datos!L10-Datos!V10)/Datos!V10," - ")</f>
        <v>1</v>
      </c>
      <c r="F10" s="459">
        <f>IF(ISNUMBER((Datos!M10-Datos!W10)/Datos!W10),(Datos!M10-Datos!W10)/Datos!W10," - ")</f>
        <v>1</v>
      </c>
      <c r="G10" s="460">
        <f>IF(ISNUMBER((Datos!N10-Datos!X10)/Datos!X10),(Datos!N10-Datos!X10)/Datos!X10," - ")</f>
        <v>-1</v>
      </c>
      <c r="H10" s="458">
        <f>IF(ISNUMBER(((NºAsuntos!G10/NºAsuntos!E10)-Datos!BD10)/Datos!BD10),((NºAsuntos!G10/NºAsuntos!E10)-Datos!BD10)/Datos!BD10," - ")</f>
        <v>-0.44444444444444448</v>
      </c>
      <c r="I10" s="459">
        <f>IF(ISNUMBER(((NºAsuntos!I10/NºAsuntos!G10)-Datos!BE10)/Datos!BE10),((NºAsuntos!I10/NºAsuntos!G10)-Datos!BE10)/Datos!BE10," - ")</f>
        <v>2</v>
      </c>
      <c r="J10" s="464">
        <f>IF(ISNUMBER((('Resol  Asuntos'!D10/NºAsuntos!G10)-Datos!BF10)/Datos!BF10),(('Resol  Asuntos'!D10/NºAsuntos!G10)-Datos!BF10)/Datos!BF10," - ")</f>
        <v>2.0000000000000004</v>
      </c>
      <c r="K10" s="465">
        <f>IF(ISNUMBER((((NºAsuntos!C10+NºAsuntos!E10)/NºAsuntos!G10)-Datos!BG10)/Datos!BG10),(((NºAsuntos!C10+NºAsuntos!E10)/NºAsuntos!G10)-Datos!BG10)/Datos!BG10," - ")</f>
        <v>1.75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9.6894767107533059E-2</v>
      </c>
      <c r="C12" s="459">
        <f>IF(ISNUMBER(
   IF(J_V="SI",(Datos!J12-Datos!T12)/Datos!T12,(Datos!J12+Datos!Z12-(Datos!T12+Datos!AH12))/(Datos!T12+Datos!AH12))
     ),IF(J_V="SI",(Datos!J12-Datos!T12)/Datos!T12,(Datos!J12+Datos!Z12-(Datos!T12+Datos!AH12))/(Datos!T12+Datos!AH12))," - ")</f>
        <v>1.1329305135951661E-2</v>
      </c>
      <c r="D12" s="459">
        <f>IF(ISNUMBER(
   IF(J_V="SI",(Datos!K12-Datos!U12)/Datos!U12,(Datos!K12+Datos!AA12-(Datos!U12+Datos!AI12))/(Datos!U12+Datos!AI12))
     ),IF(J_V="SI",(Datos!K12-Datos!U12)/Datos!U12,(Datos!K12+Datos!AA12-(Datos!U12+Datos!AI12))/(Datos!U12+Datos!AI12))," - ")</f>
        <v>-0.23211567732115676</v>
      </c>
      <c r="E12" s="459">
        <f>IF(ISNUMBER(
   IF(J_V="SI",(Datos!L12-Datos!V12)/Datos!V12,(Datos!L12+Datos!AB12-(Datos!V12+Datos!AJ12))/(Datos!V12+Datos!AJ12))
     ),IF(J_V="SI",(Datos!L12-Datos!V12)/Datos!V12,(Datos!L12+Datos!AB12-(Datos!V12+Datos!AJ12))/(Datos!V12+Datos!AJ12))," - ")</f>
        <v>0.32423101067168864</v>
      </c>
      <c r="F12" s="459">
        <f>IF(ISNUMBER((Datos!M12-Datos!W12)/Datos!W12),(Datos!M12-Datos!W12)/Datos!W12," - ")</f>
        <v>-0.16996047430830039</v>
      </c>
      <c r="G12" s="460">
        <f>IF(ISNUMBER((Datos!N12-Datos!X12)/Datos!X12),(Datos!N12-Datos!X12)/Datos!X12," - ")</f>
        <v>-0.34879032258064518</v>
      </c>
      <c r="H12" s="458">
        <f>IF(ISNUMBER(((NºAsuntos!G12/NºAsuntos!E12)-Datos!BD12)/Datos!BD12),((NºAsuntos!G12/NºAsuntos!E12)-Datos!BD12)/Datos!BD12," - ")</f>
        <v>-0.24071781685826105</v>
      </c>
      <c r="I12" s="459">
        <f>IF(ISNUMBER(((NºAsuntos!I12/NºAsuntos!G12)-Datos!BE12)/Datos!BE12),((NºAsuntos!I12/NºAsuntos!G12)-Datos!BE12)/Datos!BE12," - ")</f>
        <v>0.7245188781195232</v>
      </c>
      <c r="J12" s="464">
        <f>IF(ISNUMBER((('Resol  Asuntos'!D12/NºAsuntos!G12)-Datos!BF12)/Datos!BF12),(('Resol  Asuntos'!D12/NºAsuntos!G12)-Datos!BF12)/Datos!BF12," - ")</f>
        <v>-0.44863166981041586</v>
      </c>
      <c r="K12" s="465">
        <f>IF(ISNUMBER((((NºAsuntos!C12+NºAsuntos!E12)/NºAsuntos!G12)-Datos!BG12)/Datos!BG12),(((NºAsuntos!C12+NºAsuntos!E12)/NºAsuntos!G12)-Datos!BG12)/Datos!BG12," - ")</f>
        <v>0.39774020487829459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0.10180154418072633</v>
      </c>
      <c r="C13" s="858">
        <f>IF(ISNUMBER(
   IF(J_V="SI",(Datos!J13-Datos!T13)/Datos!T13,(Datos!J13+Datos!Z13-(Datos!T13+Datos!AH13))/(Datos!T13+Datos!AH13))
     ),IF(J_V="SI",(Datos!J13-Datos!T13)/Datos!T13,(Datos!J13+Datos!Z13-(Datos!T13+Datos!AH13))/(Datos!T13+Datos!AH13))," - ")</f>
        <v>1.2039127163280662E-2</v>
      </c>
      <c r="D13" s="858">
        <f>IF(ISNUMBER(
   IF(J_V="SI",(Datos!K13-Datos!U13)/Datos!U13,(Datos!K13+Datos!AA13-(Datos!U13+Datos!AI13))/(Datos!U13+Datos!AI13))
     ),IF(J_V="SI",(Datos!K13-Datos!U13)/Datos!U13,(Datos!K13+Datos!AA13-(Datos!U13+Datos!AI13))/(Datos!U13+Datos!AI13))," - ")</f>
        <v>-0.23234624145785876</v>
      </c>
      <c r="E13" s="858">
        <f>IF(ISNUMBER(
   IF(J_V="SI",(Datos!L13-Datos!V13)/Datos!V13,(Datos!L13+Datos!AB13-(Datos!V13+Datos!AJ13))/(Datos!V13+Datos!AJ13))
     ),IF(J_V="SI",(Datos!L13-Datos!V13)/Datos!V13,(Datos!L13+Datos!AB13-(Datos!V13+Datos!AJ13))/(Datos!V13+Datos!AJ13))," - ")</f>
        <v>0.32865606485812288</v>
      </c>
      <c r="F13" s="859">
        <f>IF(ISNUMBER((Datos!M13-Datos!W13)/Datos!W13),(Datos!M13-Datos!W13)/Datos!W13," - ")</f>
        <v>-0.16535433070866143</v>
      </c>
      <c r="G13" s="860">
        <f>IF(ISNUMBER((Datos!N13-Datos!X13)/Datos!X13),(Datos!N13-Datos!X13)/Datos!X13," - ")</f>
        <v>-0.3501006036217304</v>
      </c>
      <c r="H13" s="860">
        <f>IF(ISNUMBER(((NºAsuntos!G13/NºAsuntos!E13)-Datos!BD13)/Datos!BD13),((NºAsuntos!G13/NºAsuntos!E13)-Datos!BD13)/Datos!BD13," - ")</f>
        <v>-0.24147818207992144</v>
      </c>
      <c r="I13" s="860">
        <f>IF(ISNUMBER(((NºAsuntos!I13/NºAsuntos!G13)-Datos!BE13)/Datos!BE13),((NºAsuntos!I13/NºAsuntos!G13)-Datos!BE13)/Datos!BE13," - ")</f>
        <v>0.73080122395464664</v>
      </c>
      <c r="J13" s="860">
        <f>IF(ISNUMBER((('Resol  Asuntos'!D13/NºAsuntos!G13)-Datos!BF13)/Datos!BF13),(('Resol  Asuntos'!D13/NºAsuntos!G13)-Datos!BF13)/Datos!BF13," - ")</f>
        <v>-0.44433365773274658</v>
      </c>
      <c r="K13" s="860">
        <f>IF(ISNUMBER((((NºAsuntos!C13+NºAsuntos!E13)/NºAsuntos!G13)-Datos!BG13)/Datos!BG13),(((NºAsuntos!C13+NºAsuntos!E13)/NºAsuntos!G13)-Datos!BG13)/Datos!BG13," - ")</f>
        <v>0.40308369231450314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6.6141732283464566E-2</v>
      </c>
      <c r="C16" s="459">
        <f>IF(ISNUMBER(
   IF(D_I="SI",(Datos!J16-Datos!T16)/Datos!T16,(Datos!J16+Datos!AD16-(Datos!T16+Datos!AL16))/(Datos!T16+Datos!AL16))
     ),IF(D_I="SI",(Datos!J16-Datos!T16)/Datos!T16,(Datos!J16+Datos!AD16-(Datos!T16+Datos!AL16))/(Datos!T16+Datos!AL16))," - ")</f>
        <v>2.1103896103896104E-2</v>
      </c>
      <c r="D16" s="459">
        <f>IF(ISNUMBER(
   IF(D_I="SI",(Datos!K16-Datos!U16)/Datos!U16,(Datos!K16+Datos!AE16-(Datos!U16+Datos!AM16))/(Datos!U16+Datos!AM16))
     ),IF(D_I="SI",(Datos!K16-Datos!U16)/Datos!U16,(Datos!K16+Datos!AE16-(Datos!U16+Datos!AM16))/(Datos!U16+Datos!AM16))," - ")</f>
        <v>0.11198428290766209</v>
      </c>
      <c r="E16" s="459">
        <f>IF(ISNUMBER(
   IF(D_I="SI",(Datos!L16-Datos!V16)/Datos!V16,(Datos!L16+Datos!AF16-(Datos!V16+Datos!AN16))/(Datos!V16+Datos!AN16))
     ),IF(D_I="SI",(Datos!L16-Datos!V16)/Datos!V16,(Datos!L16+Datos!AF16-(Datos!V16+Datos!AN16))/(Datos!V16+Datos!AN16))," - ")</f>
        <v>-5.8534743202416917E-2</v>
      </c>
      <c r="F16" s="459">
        <f>IF(ISNUMBER((Datos!M16-Datos!W16)/Datos!W16),(Datos!M16-Datos!W16)/Datos!W16," - ")</f>
        <v>-0.21857923497267759</v>
      </c>
      <c r="G16" s="460">
        <f>IF(ISNUMBER((Datos!N16-Datos!X16)/Datos!X16),(Datos!N16-Datos!X16)/Datos!X16," - ")</f>
        <v>0.41155866900175131</v>
      </c>
      <c r="H16" s="458">
        <f>IF(ISNUMBER(((NºAsuntos!G16/NºAsuntos!E16)-Datos!BD16)/Datos!BD16),((NºAsuntos!G16/NºAsuntos!E16)-Datos!BD16)/Datos!BD16," - ")</f>
        <v>8.9002095820540292E-2</v>
      </c>
      <c r="I16" s="459">
        <f>IF(ISNUMBER(((NºAsuntos!I16/NºAsuntos!G16)-Datos!BE16)/Datos!BE16),((NºAsuntos!I16/NºAsuntos!G16)-Datos!BE16)/Datos!BE16," - ")</f>
        <v>-0.15334661535341029</v>
      </c>
      <c r="J16" s="464">
        <f>IF(ISNUMBER((('Resol  Asuntos'!D16/NºAsuntos!G16)-Datos!BF16)/Datos!BF16),(('Resol  Asuntos'!D16/NºAsuntos!G16)-Datos!BF16)/Datos!BF16," - ")</f>
        <v>-0.29727355229875063</v>
      </c>
      <c r="K16" s="465">
        <f>IF(ISNUMBER((((NºAsuntos!C16+NºAsuntos!E16)/NºAsuntos!G16)-Datos!BG16)/Datos!BG16),(((NºAsuntos!C16+NºAsuntos!E16)/NºAsuntos!G16)-Datos!BG16)/Datos!BG16," - ")</f>
        <v>-5.4454620057031729E-2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3.1</v>
      </c>
      <c r="C17" s="459">
        <f>IF(ISNUMBER(
   IF(D_I="SI",(Datos!J17-Datos!T17)/Datos!T17,(Datos!J17+Datos!AD17-(Datos!T17+Datos!AL17))/(Datos!T17+Datos!AL17))
     ),IF(D_I="SI",(Datos!J17-Datos!T17)/Datos!T17,(Datos!J17+Datos!AD17-(Datos!T17+Datos!AL17))/(Datos!T17+Datos!AL17))," - ")</f>
        <v>0.78947368421052633</v>
      </c>
      <c r="D17" s="459">
        <f>IF(ISNUMBER(
   IF(D_I="SI",(Datos!K17-Datos!U17)/Datos!U17,(Datos!K17+Datos!AE17-(Datos!U17+Datos!AM17))/(Datos!U17+Datos!AM17))
     ),IF(D_I="SI",(Datos!K17-Datos!U17)/Datos!U17,(Datos!K17+Datos!AE17-(Datos!U17+Datos!AM17))/(Datos!U17+Datos!AM17))," - ")</f>
        <v>0.97058823529411764</v>
      </c>
      <c r="E17" s="459">
        <f>IF(ISNUMBER(
   IF(D_I="SI",(Datos!L17-Datos!V17)/Datos!V17,(Datos!L17+Datos!AF17-(Datos!V17+Datos!AN17))/(Datos!V17+Datos!AN17))
     ),IF(D_I="SI",(Datos!L17-Datos!V17)/Datos!V17,(Datos!L17+Datos!AF17-(Datos!V17+Datos!AN17))/(Datos!V17+Datos!AN17))," - ")</f>
        <v>1.896551724137931</v>
      </c>
      <c r="F17" s="459">
        <f>IF(ISNUMBER((Datos!M17-Datos!W17)/Datos!W17),(Datos!M17-Datos!W17)/Datos!W17," - ")</f>
        <v>0.3125</v>
      </c>
      <c r="G17" s="460">
        <f>IF(ISNUMBER((Datos!N17-Datos!X17)/Datos!X17),(Datos!N17-Datos!X17)/Datos!X17," - ")</f>
        <v>3.9230769230769229</v>
      </c>
      <c r="H17" s="458">
        <f>IF(ISNUMBER(((NºAsuntos!G17/NºAsuntos!E17)-Datos!BD17)/Datos!BD17),((NºAsuntos!G17/NºAsuntos!E17)-Datos!BD17)/Datos!BD17," - ")</f>
        <v>0.10121107266435991</v>
      </c>
      <c r="I17" s="459">
        <f>IF(ISNUMBER(((NºAsuntos!I17/NºAsuntos!G17)-Datos!BE17)/Datos!BE17),((NºAsuntos!I17/NºAsuntos!G17)-Datos!BE17)/Datos!BE17," - ")</f>
        <v>0.46989191971178601</v>
      </c>
      <c r="J17" s="464">
        <f>IF(ISNUMBER((('Resol  Asuntos'!D17/NºAsuntos!G17)-Datos!BF17)/Datos!BF17),(('Resol  Asuntos'!D17/NºAsuntos!G17)-Datos!BF17)/Datos!BF17," - ")</f>
        <v>-0.33395522388059695</v>
      </c>
      <c r="K17" s="465">
        <f>IF(ISNUMBER((((NºAsuntos!C17+NºAsuntos!E17)/NºAsuntos!G17)-Datos!BG17)/Datos!BG17),(((NºAsuntos!C17+NºAsuntos!E17)/NºAsuntos!G17)-Datos!BG17)/Datos!BG17," - ")</f>
        <v>0.15236318407960195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8.984375E-2</v>
      </c>
      <c r="C18" s="858">
        <f>IF(ISNUMBER(
   IF(Criterios!B14="SI",(Datos!J18-Datos!T18)/Datos!T18,(Datos!J18+Datos!AD18-(Datos!T18+Datos!AL18))/(Datos!T18+Datos!AL18))
     ),IF(Criterios!B14="SI",(Datos!J18-Datos!T18)/Datos!T18,(Datos!J18+Datos!AD18-(Datos!T18+Datos!AL18))/(Datos!T18+Datos!AL18))," - ")</f>
        <v>6.5749235474006115E-2</v>
      </c>
      <c r="D18" s="858">
        <f>IF(ISNUMBER(
   IF(Criterios!B14="SI",(Datos!K18-Datos!U18)/Datos!U18,(Datos!K18+Datos!AE18-(Datos!U18+Datos!AM18))/(Datos!U18+Datos!AM18))
     ),IF(Criterios!B14="SI",(Datos!K18-Datos!U18)/Datos!U18,(Datos!K18+Datos!AE18-(Datos!U18+Datos!AM18))/(Datos!U18+Datos!AM18))," - ")</f>
        <v>0.16574585635359115</v>
      </c>
      <c r="E18" s="858">
        <f>IF(ISNUMBER(
   IF(Criterios!B14="SI",(Datos!L18-Datos!V18)/Datos!V18,(Datos!L18+Datos!AF18-(Datos!V18+Datos!AN18))/(Datos!V18+Datos!AN18))
     ),IF(Criterios!B14="SI",(Datos!L18-Datos!V18)/Datos!V18,(Datos!L18+Datos!AF18-(Datos!V18+Datos!AN18))/(Datos!V18+Datos!AN18))," - ")</f>
        <v>-3.735524841240194E-2</v>
      </c>
      <c r="F18" s="859">
        <f>IF(ISNUMBER((Datos!M18-Datos!W18)/Datos!W18),(Datos!M18-Datos!W18)/Datos!W18," - ")</f>
        <v>-0.17587939698492464</v>
      </c>
      <c r="G18" s="860">
        <f>IF(ISNUMBER((Datos!N18-Datos!X18)/Datos!X18),(Datos!N18-Datos!X18)/Datos!X18," - ")</f>
        <v>0.48972602739726029</v>
      </c>
      <c r="H18" s="860">
        <f>IF(ISNUMBER(((NºAsuntos!G18/NºAsuntos!E18)-Datos!BD18)/Datos!BD18),((NºAsuntos!G18/NºAsuntos!E18)-Datos!BD18)/Datos!BD18," - ")</f>
        <v>9.3827532360471477E-2</v>
      </c>
      <c r="I18" s="860">
        <f>IF(ISNUMBER(((NºAsuntos!I18/NºAsuntos!G18)-Datos!BE18)/Datos!BE18),((NºAsuntos!I18/NºAsuntos!G18)-Datos!BE18)/Datos!BE18," - ")</f>
        <v>-0.17422417043907476</v>
      </c>
      <c r="J18" s="860">
        <f>IF(ISNUMBER((('Resol  Asuntos'!D18/NºAsuntos!G18)-Datos!BF18)/Datos!BF18),(('Resol  Asuntos'!D18/NºAsuntos!G18)-Datos!BF18)/Datos!BF18," - ")</f>
        <v>-0.29305294243730512</v>
      </c>
      <c r="K18" s="860">
        <f>IF(ISNUMBER((((NºAsuntos!C18+NºAsuntos!E18)/NºAsuntos!G18)-Datos!BG18)/Datos!BG18),(((NºAsuntos!C18+NºAsuntos!E18)/NºAsuntos!G18)-Datos!BG18)/Datos!BG18," - ")</f>
        <v>-7.2099668197434755E-2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9.6747564801056632E-2</v>
      </c>
      <c r="C19" s="805">
        <f>IF(ISNUMBER(
   IF(J_V="SI",(Datos!J19-Datos!T19)/Datos!T19,(Datos!J19+Datos!Z19-(Datos!T19+Datos!AH19))/(Datos!T19+Datos!AH19))
     ),IF(J_V="SI",(Datos!J19-Datos!T19)/Datos!T19,(Datos!J19+Datos!Z19-(Datos!T19+Datos!AH19))/(Datos!T19+Datos!AH19))," - ")</f>
        <v>3.8680318543799774E-2</v>
      </c>
      <c r="D19" s="805">
        <f>IF(ISNUMBER(
   IF(J_V="SI",(Datos!K19-Datos!U19)/Datos!U19,(Datos!K19+Datos!AA19-(Datos!U19+Datos!AI19))/(Datos!U19+Datos!AI19))
     ),IF(J_V="SI",(Datos!K19-Datos!U19)/Datos!U19,(Datos!K19+Datos!AA19-(Datos!U19+Datos!AI19))/(Datos!U19+Datos!AI19))," - ")</f>
        <v>-5.2434456928838954E-2</v>
      </c>
      <c r="E19" s="805">
        <f>IF(ISNUMBER(
   IF(J_V="SI",(Datos!L19-Datos!V19)/Datos!V19,(Datos!L19+Datos!AB19-(Datos!V19+Datos!AJ19))/(Datos!V19+Datos!AJ19))
     ),IF(J_V="SI",(Datos!L19-Datos!V19)/Datos!V19,(Datos!L19+Datos!AB19-(Datos!V19+Datos!AJ19))/(Datos!V19+Datos!AJ19))," - ")</f>
        <v>0.16213460231135282</v>
      </c>
      <c r="F19" s="806">
        <f>IF(ISNUMBER((Datos!M19-Datos!W19)/Datos!W19),(Datos!M19-Datos!W19)/Datos!W19," - ")</f>
        <v>-0.16997792494481237</v>
      </c>
      <c r="G19" s="807">
        <f>IF(ISNUMBER((Datos!N19-Datos!X19)/Datos!X19),(Datos!N19-Datos!X19)/Datos!X19," - ")</f>
        <v>0.1036077705827937</v>
      </c>
      <c r="H19" s="808">
        <f>IF(ISNUMBER((Tasas!B19-Datos!BD19)/Datos!BD19),(Tasas!B19-Datos!BD19)/Datos!BD19," - ")</f>
        <v>-8.7721673209692708E-2</v>
      </c>
      <c r="I19" s="809">
        <f>IF(ISNUMBER((Tasas!C19-Datos!BE19)/Datos!BE19),(Tasas!C19-Datos!BE19)/Datos!BE19," - ")</f>
        <v>0.22644244591751467</v>
      </c>
      <c r="J19" s="810">
        <f>IF(ISNUMBER((Tasas!D19-Datos!BF19)/Datos!BF19),(Tasas!D19-Datos!BF19)/Datos!BF19," - ")</f>
        <v>-0.42987597110535641</v>
      </c>
      <c r="K19" s="810">
        <f>IF(ISNUMBER((Tasas!E19-Datos!BG19)/Datos!BG19),(Tasas!E19-Datos!BG19)/Datos!BG19," - ")</f>
        <v>0.13885001786703119</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bDAlOl6lBQ8n22B7EXT1/KUq6NicOtC6i7MucWG3VDTWVmW7x7qx/knKQB+DqPrzuyLcg6fYyY7LAz9gJoc7Tw==" saltValue="AiTYxqsLyMx2qkPn1Kx4O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CASTELLON-CASTELLO</v>
      </c>
    </row>
    <row r="4" spans="1:7" ht="11.25" customHeight="1" thickBot="1">
      <c r="B4" s="394" t="str">
        <f>Criterios!A11 &amp;"  "&amp;Criterios!B11</f>
        <v>Resumenes por Partidos Judiciales  VINARÒS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0.33333333333333331</v>
      </c>
      <c r="C10" s="446">
        <f>IF(ISNUMBER(NºAsuntos!I10/NºAsuntos!G10),NºAsuntos!I10/NºAsuntos!G10," - ")</f>
        <v>21</v>
      </c>
      <c r="D10" s="447">
        <f>IF(ISNUMBER('Resol  Asuntos'!D10/NºAsuntos!G10),'Resol  Asuntos'!D10/NºAsuntos!G10," - ")</f>
        <v>1</v>
      </c>
      <c r="E10" s="448">
        <f>IF(ISNUMBER((NºAsuntos!C10+NºAsuntos!E10)/NºAsuntos!G10),(NºAsuntos!C10+NºAsuntos!E10)/NºAsuntos!G10," - ")</f>
        <v>22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0.7535474234503361</v>
      </c>
      <c r="C12" s="446">
        <f>IF(ISNUMBER(NºAsuntos!I12/NºAsuntos!G12),NºAsuntos!I12/NºAsuntos!G12," - ")</f>
        <v>4.1813676907829533</v>
      </c>
      <c r="D12" s="447">
        <f>IF(ISNUMBER('Resol  Asuntos'!D12/NºAsuntos!G12),'Resol  Asuntos'!D12/NºAsuntos!G12," - ")</f>
        <v>0.20812685827552033</v>
      </c>
      <c r="E12" s="448">
        <f>IF(ISNUMBER((NºAsuntos!C12+NºAsuntos!E12)/NºAsuntos!G12),(NºAsuntos!C12+NºAsuntos!E12)/NºAsuntos!G12," - ")</f>
        <v>5.1080277502477704</v>
      </c>
      <c r="G12" s="466"/>
    </row>
    <row r="13" spans="1:7" ht="14.25" thickTop="1" thickBot="1">
      <c r="A13" s="851" t="str">
        <f>Datos!A13</f>
        <v>TOTAL</v>
      </c>
      <c r="B13" s="861">
        <f>IF(ISNUMBER(NºAsuntos!G13/NºAsuntos!E13),NºAsuntos!G13/NºAsuntos!E13," - ")</f>
        <v>0.7516728624535316</v>
      </c>
      <c r="C13" s="862">
        <f>IF(ISNUMBER(NºAsuntos!I13/NºAsuntos!G13),NºAsuntos!I13/NºAsuntos!G13," - ")</f>
        <v>4.2146389713155292</v>
      </c>
      <c r="D13" s="863">
        <f>IF(ISNUMBER('Resol  Asuntos'!D13/NºAsuntos!G13),'Resol  Asuntos'!D13/NºAsuntos!G13," - ")</f>
        <v>0.20969337289812068</v>
      </c>
      <c r="E13" s="864">
        <f>IF(ISNUMBER((NºAsuntos!C13+NºAsuntos!E13)/NºAsuntos!G13),(NºAsuntos!C13+NºAsuntos!E13)/NºAsuntos!G13," - ")</f>
        <v>5.1414441147378831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0.89984101748807632</v>
      </c>
      <c r="C16" s="446">
        <f>IF(ISNUMBER(NºAsuntos!I16/NºAsuntos!G16),NºAsuntos!I16/NºAsuntos!G16," - ")</f>
        <v>2.202296819787986</v>
      </c>
      <c r="D16" s="447">
        <f>IF(ISNUMBER('Resol  Asuntos'!D16/NºAsuntos!G16),'Resol  Asuntos'!D16/NºAsuntos!G16," - ")</f>
        <v>0.12632508833922262</v>
      </c>
      <c r="E16" s="448">
        <f>IF(ISNUMBER((NºAsuntos!C16+NºAsuntos!E16)/NºAsuntos!G16),(NºAsuntos!C16+NºAsuntos!E16)/NºAsuntos!G16," - ")</f>
        <v>3.5035335689045937</v>
      </c>
      <c r="G16" s="466"/>
    </row>
    <row r="17" spans="1:7" ht="13.5" thickBot="1">
      <c r="A17" s="405" t="str">
        <f>Datos!A17</f>
        <v>Jdos. Violencia contra la mujer</v>
      </c>
      <c r="B17" s="445">
        <f>IF(ISNUMBER(NºAsuntos!G17/NºAsuntos!E17),NºAsuntos!G17/NºAsuntos!E17," - ")</f>
        <v>0.98529411764705888</v>
      </c>
      <c r="C17" s="446">
        <f>IF(ISNUMBER(NºAsuntos!I17/NºAsuntos!G17),NºAsuntos!I17/NºAsuntos!G17," - ")</f>
        <v>0.62686567164179108</v>
      </c>
      <c r="D17" s="447">
        <f>IF(ISNUMBER('Resol  Asuntos'!D17/NºAsuntos!G17),'Resol  Asuntos'!D17/NºAsuntos!G17," - ")</f>
        <v>0.15671641791044777</v>
      </c>
      <c r="E17" s="448">
        <f>IF(ISNUMBER((NºAsuntos!C17+NºAsuntos!E17)/NºAsuntos!G17),(NºAsuntos!C17+NºAsuntos!E17)/NºAsuntos!G17," - ")</f>
        <v>1.6268656716417911</v>
      </c>
      <c r="G17" s="466"/>
    </row>
    <row r="18" spans="1:7" ht="14.25" thickTop="1" thickBot="1">
      <c r="A18" s="851" t="str">
        <f>Datos!A18</f>
        <v>TOTAL</v>
      </c>
      <c r="B18" s="861">
        <f>IF(ISNUMBER(NºAsuntos!G18/NºAsuntos!E18),NºAsuntos!G18/NºAsuntos!E18," - ")</f>
        <v>0.90817790530846487</v>
      </c>
      <c r="C18" s="862">
        <f>IF(ISNUMBER(NºAsuntos!I18/NºAsuntos!G18),NºAsuntos!I18/NºAsuntos!G18," - ")</f>
        <v>2.0355450236966823</v>
      </c>
      <c r="D18" s="865">
        <f>IF(ISNUMBER('Resol  Asuntos'!D18/NºAsuntos!G18),'Resol  Asuntos'!D18/NºAsuntos!G18," - ")</f>
        <v>0.12954186413902052</v>
      </c>
      <c r="E18" s="864">
        <f>IF(ISNUMBER((NºAsuntos!C18+NºAsuntos!E18)/NºAsuntos!G18),(NºAsuntos!C18+NºAsuntos!E18)/NºAsuntos!G18," - ")</f>
        <v>3.3048973143759874</v>
      </c>
      <c r="G18" s="466"/>
    </row>
    <row r="19" spans="1:7" ht="15.75" customHeight="1" thickTop="1" thickBot="1">
      <c r="A19" s="796" t="str">
        <f>Datos!A19</f>
        <v>TOTAL JURISDICCIONES</v>
      </c>
      <c r="B19" s="811">
        <f>IF(ISNUMBER(NºAsuntos!G19/NºAsuntos!E19),NºAsuntos!G19/NºAsuntos!E19," - ")</f>
        <v>0.83132530120481929</v>
      </c>
      <c r="C19" s="812">
        <f>IF(ISNUMBER(NºAsuntos!I19/NºAsuntos!G19),NºAsuntos!I19/NºAsuntos!G19," - ")</f>
        <v>3.0030742204655247</v>
      </c>
      <c r="D19" s="813">
        <f>IF(ISNUMBER('Resol  Asuntos'!D19/NºAsuntos!G19),'Resol  Asuntos'!D19/NºAsuntos!G19," - ")</f>
        <v>0.16512955643390426</v>
      </c>
      <c r="E19" s="814">
        <f>IF(ISNUMBER((NºAsuntos!C19+NºAsuntos!E19)/NºAsuntos!G19),(NºAsuntos!C19+NºAsuntos!E19)/NºAsuntos!G19," - ")</f>
        <v>4.1203337725076858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Ha36LHrKqvGmclMGvyD+7oa7ekYDMiDMVmmJOIclLlLdjxHSupJmRF6Ay6d1rj381O5iyazuO9rC0Pom1Te9eQ==" saltValue="nmMNpF/DOKpQz8pz9Ldt2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CASTELLON-CASTELLO</v>
      </c>
      <c r="N2" s="265" t="str">
        <f>Criterios!A11 &amp;"  "&amp;Criterios!B11</f>
        <v>Resumenes por Partidos Judiciales  VINARÒS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38</v>
      </c>
      <c r="G10" s="336">
        <f>IF(ISNUMBER(Datos!I10),Datos!I10," - ")</f>
        <v>38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42</v>
      </c>
      <c r="AB10" s="337">
        <f>IF(ISNUMBER(Datos!R10),Datos!R10," - ")</f>
        <v>24</v>
      </c>
      <c r="AC10" s="337">
        <f t="shared" ref="AC10:AC12" si="1">IF(ISNUMBER(AA10+AB10),AA10+AB10," - ")</f>
        <v>66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0.33333333333333331</v>
      </c>
      <c r="AM10" s="263">
        <f>IF(ISNUMBER(((NºAsuntos!I10/NºAsuntos!G10)*11)/factor_trimestre),((NºAsuntos!I10/NºAsuntos!G10)*11)/factor_trimestre," - ")</f>
        <v>63</v>
      </c>
      <c r="AN10" s="247">
        <f>IF(ISNUMBER('Resol  Asuntos'!D10/NºAsuntos!G10),'Resol  Asuntos'!D10/NºAsuntos!G10," - ")</f>
        <v>1</v>
      </c>
      <c r="AO10" s="248">
        <f>IF(ISNUMBER((NºAsuntos!C10+NºAsuntos!E10)/NºAsuntos!G10),(NºAsuntos!C10+NºAsuntos!E10)/NºAsuntos!G10," - ")</f>
        <v>22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249</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339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220</v>
      </c>
      <c r="Y12" s="337">
        <f t="shared" si="0"/>
        <v>220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5793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210</v>
      </c>
      <c r="AJ12" s="232" t="str">
        <f>IF(ISNUMBER(Datos!BW12),Datos!BW12," - ")</f>
        <v xml:space="preserve"> - </v>
      </c>
      <c r="AK12" s="231" t="str">
        <f>IF(ISNUMBER(Datos!BX12),Datos!BX12," - ")</f>
        <v xml:space="preserve"> - </v>
      </c>
      <c r="AL12" s="246">
        <f>IF(ISNUMBER(NºAsuntos!G12/NºAsuntos!E12),NºAsuntos!G12/NºAsuntos!E12," - ")</f>
        <v>0.7535474234503361</v>
      </c>
      <c r="AM12" s="263">
        <f>IF(ISNUMBER(((NºAsuntos!I12/NºAsuntos!G12)*11)/factor_trimestre),((NºAsuntos!I12/NºAsuntos!G12)*11)/factor_trimestre," - ")</f>
        <v>12.544103072348861</v>
      </c>
      <c r="AN12" s="247">
        <f>IF(ISNUMBER('Resol  Asuntos'!D12/NºAsuntos!G12),'Resol  Asuntos'!D12/NºAsuntos!G12," - ")</f>
        <v>0.20812685827552033</v>
      </c>
      <c r="AO12" s="248">
        <f>IF(ISNUMBER((NºAsuntos!C12+NºAsuntos!E12)/NºAsuntos!G12),(NºAsuntos!C12+NºAsuntos!E12)/NºAsuntos!G12," - ")</f>
        <v>5.1080277502477704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38</v>
      </c>
      <c r="G13" s="869">
        <f t="shared" si="3"/>
        <v>38</v>
      </c>
      <c r="H13" s="868">
        <f t="shared" si="3"/>
        <v>0</v>
      </c>
      <c r="I13" s="870">
        <f t="shared" si="3"/>
        <v>0</v>
      </c>
      <c r="J13" s="870">
        <f t="shared" si="3"/>
        <v>0</v>
      </c>
      <c r="K13" s="870">
        <f t="shared" si="3"/>
        <v>0</v>
      </c>
      <c r="L13" s="870">
        <f t="shared" si="3"/>
        <v>339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220</v>
      </c>
      <c r="Y13" s="871">
        <f t="shared" si="4"/>
        <v>222</v>
      </c>
      <c r="Z13" s="871">
        <f t="shared" si="4"/>
        <v>0</v>
      </c>
      <c r="AA13" s="871">
        <f t="shared" si="4"/>
        <v>42</v>
      </c>
      <c r="AB13" s="871">
        <f t="shared" si="4"/>
        <v>5817</v>
      </c>
      <c r="AC13" s="871">
        <f t="shared" si="4"/>
        <v>66</v>
      </c>
      <c r="AD13" s="871">
        <f t="shared" si="4"/>
        <v>0</v>
      </c>
      <c r="AE13" s="875">
        <f t="shared" si="4"/>
        <v>0</v>
      </c>
      <c r="AF13" s="868">
        <f t="shared" si="4"/>
        <v>0</v>
      </c>
      <c r="AG13" s="876">
        <f t="shared" si="4"/>
        <v>0</v>
      </c>
      <c r="AH13" s="873">
        <f t="shared" si="4"/>
        <v>0</v>
      </c>
      <c r="AI13" s="868">
        <f t="shared" si="4"/>
        <v>212</v>
      </c>
      <c r="AJ13" s="870">
        <f t="shared" si="4"/>
        <v>0</v>
      </c>
      <c r="AK13" s="873">
        <f>SUBTOTAL(9,AK9:AK12)</f>
        <v>0</v>
      </c>
      <c r="AL13" s="877">
        <f>IF(ISNUMBER(NºAsuntos!G13/NºAsuntos!E13),NºAsuntos!G13/NºAsuntos!E13," - ")</f>
        <v>0.7516728624535316</v>
      </c>
      <c r="AM13" s="877">
        <f>IF(ISNUMBER(((NºAsuntos!I13/NºAsuntos!G13)*11)/factor_trimestre),((NºAsuntos!I13/NºAsuntos!G13)*11)/factor_trimestre," - ")</f>
        <v>12.643916913946589</v>
      </c>
      <c r="AN13" s="878">
        <f>IF(ISNUMBER('Resol  Asuntos'!D13/NºAsuntos!G13),'Resol  Asuntos'!D13/NºAsuntos!G13," - ")</f>
        <v>0.20969337289812068</v>
      </c>
      <c r="AO13" s="879">
        <f>IF(ISNUMBER((NºAsuntos!C13+NºAsuntos!E13)/NºAsuntos!G13),(NºAsuntos!C13+NºAsuntos!E13)/NºAsuntos!G13," - ")</f>
        <v>5.1414441147378831</v>
      </c>
      <c r="AP13" s="880" t="str">
        <f t="shared" si="2"/>
        <v xml:space="preserve"> - </v>
      </c>
      <c r="AQ13" s="880">
        <f>IF(ISNUMBER((H13-W13+K13)/(F13)),(H13-W13+K13)/(F13)," - ")</f>
        <v>-5.2631578947368418E-2</v>
      </c>
      <c r="AR13" s="881">
        <f>IF(ISNUMBER((Datos!P13-Datos!Q13)/(Datos!R13-Datos!P13+Datos!Q13)),(Datos!P13-Datos!Q13)/(Datos!R13-Datos!P13+Datos!Q13)," - ")</f>
        <v>2.0884520884520884E-2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400</v>
      </c>
      <c r="C16" s="163" t="str">
        <f>Datos!A16</f>
        <v xml:space="preserve">Jdos. 1ª Instª. e Instr.                        </v>
      </c>
      <c r="D16" s="163"/>
      <c r="E16" s="1028">
        <f>IF(ISNUMBER(Datos!AQ16),Datos!AQ16," - ")</f>
        <v>5</v>
      </c>
      <c r="F16" s="228">
        <f>IF(ISNUMBER(AA16+W16-Datos!J16-K16),AA16+W16-Datos!J16-K16," - ")</f>
        <v>2367</v>
      </c>
      <c r="G16" s="336">
        <f>IF(ISNUMBER(IF(D_I="SI",Datos!I16,Datos!I16+Datos!AC16)),IF(D_I="SI",Datos!I16,Datos!I16+Datos!AC16)," - ")</f>
        <v>2708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1132</v>
      </c>
      <c r="X16" s="229">
        <f>IF(ISNUMBER(Datos!Q16),Datos!Q16," - ")</f>
        <v>17</v>
      </c>
      <c r="Y16" s="337">
        <f t="shared" ref="Y16:Y17" si="7">SUM(W16:X16)</f>
        <v>1149</v>
      </c>
      <c r="Z16" s="338" t="str">
        <f>IF(ISNUMBER(Datos!CC16),Datos!CC16," - ")</f>
        <v xml:space="preserve"> - </v>
      </c>
      <c r="AA16" s="335">
        <f>IF(ISNUMBER(IF(D_I="SI",Datos!L16,Datos!L16+Datos!AF16)),IF(D_I="SI",Datos!L16,Datos!L16+Datos!AF16)," - ")</f>
        <v>2493</v>
      </c>
      <c r="AB16" s="337">
        <f>IF(ISNUMBER(Datos!R16),Datos!R16," - ")</f>
        <v>330</v>
      </c>
      <c r="AC16" s="337">
        <f t="shared" si="6"/>
        <v>2823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143</v>
      </c>
      <c r="AJ16" s="234" t="str">
        <f>IF(ISNUMBER(Datos!BW16),Datos!BW16," - ")</f>
        <v xml:space="preserve"> - </v>
      </c>
      <c r="AK16" s="235" t="str">
        <f>IF(ISNUMBER(Datos!BX16),Datos!BX16," - ")</f>
        <v xml:space="preserve"> - </v>
      </c>
      <c r="AL16" s="246">
        <f>IF(ISNUMBER(NºAsuntos!G16/NºAsuntos!E16),NºAsuntos!G16/NºAsuntos!E16," - ")</f>
        <v>0.89984101748807632</v>
      </c>
      <c r="AM16" s="263">
        <f>IF(ISNUMBER(((NºAsuntos!I16/NºAsuntos!G16)*11)/factor_trimestre),((NºAsuntos!I16/NºAsuntos!G16)*11)/factor_trimestre," - ")</f>
        <v>6.6068904593639575</v>
      </c>
      <c r="AN16" s="247">
        <f>IF(ISNUMBER('Resol  Asuntos'!D16/NºAsuntos!G16),'Resol  Asuntos'!D16/NºAsuntos!G16," - ")</f>
        <v>0.12632508833922262</v>
      </c>
      <c r="AO16" s="248">
        <f>IF(ISNUMBER((NºAsuntos!C16+NºAsuntos!E16)/NºAsuntos!G16),(NºAsuntos!C16+NºAsuntos!E16)/NºAsuntos!G16," - ")</f>
        <v>3.5035335689045937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134</v>
      </c>
      <c r="X17" s="229">
        <f>IF(ISNUMBER(Datos!Q17),Datos!Q17," - ")</f>
        <v>0</v>
      </c>
      <c r="Y17" s="337">
        <f t="shared" si="7"/>
        <v>134</v>
      </c>
      <c r="Z17" s="338" t="str">
        <f>IF(ISNUMBER(Datos!CC17),Datos!CC17," - ")</f>
        <v xml:space="preserve"> - </v>
      </c>
      <c r="AA17" s="335">
        <f>IF(ISNUMBER(Datos!L17),Datos!L17,"-")</f>
        <v>84</v>
      </c>
      <c r="AB17" s="337">
        <f>IF(ISNUMBER(Datos!R17),Datos!R17," - ")</f>
        <v>11</v>
      </c>
      <c r="AC17" s="337">
        <f t="shared" si="6"/>
        <v>95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21</v>
      </c>
      <c r="AJ17" s="234" t="str">
        <f>IF(ISNUMBER(Datos!BW17),Datos!BW17," - ")</f>
        <v xml:space="preserve"> - </v>
      </c>
      <c r="AK17" s="235" t="str">
        <f>IF(ISNUMBER(Datos!BX17),Datos!BX17," - ")</f>
        <v xml:space="preserve"> - </v>
      </c>
      <c r="AL17" s="246">
        <f>IF(ISNUMBER(NºAsuntos!G17/NºAsuntos!E17),NºAsuntos!G17/NºAsuntos!E17," - ")</f>
        <v>0.98529411764705888</v>
      </c>
      <c r="AM17" s="263">
        <f>IF(ISNUMBER(((NºAsuntos!I17/NºAsuntos!G17)*11)/factor_trimestre),((NºAsuntos!I17/NºAsuntos!G17)*11)/factor_trimestre," - ")</f>
        <v>1.8805970149253732</v>
      </c>
      <c r="AN17" s="247">
        <f>IF(ISNUMBER('Resol  Asuntos'!D17/NºAsuntos!G17),'Resol  Asuntos'!D17/NºAsuntos!G17," - ")</f>
        <v>0.15671641791044777</v>
      </c>
      <c r="AO17" s="248">
        <f>IF(ISNUMBER((NºAsuntos!C17+NºAsuntos!E17)/NºAsuntos!G17),(NºAsuntos!C17+NºAsuntos!E17)/NºAsuntos!G17," - ")</f>
        <v>1.6268656716417911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2367</v>
      </c>
      <c r="G18" s="869">
        <f>SUBTOTAL(9,G15:G17)</f>
        <v>2790</v>
      </c>
      <c r="H18" s="868">
        <f t="shared" ref="H18:O18" si="10">SUBTOTAL(9,H14:H17)</f>
        <v>0</v>
      </c>
      <c r="I18" s="870">
        <f t="shared" si="10"/>
        <v>0</v>
      </c>
      <c r="J18" s="870">
        <f t="shared" si="10"/>
        <v>0</v>
      </c>
      <c r="K18" s="870">
        <f t="shared" si="10"/>
        <v>0</v>
      </c>
      <c r="L18" s="870">
        <f t="shared" si="10"/>
        <v>59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1266</v>
      </c>
      <c r="X18" s="870">
        <f t="shared" si="11"/>
        <v>17</v>
      </c>
      <c r="Y18" s="871">
        <f t="shared" si="11"/>
        <v>1283</v>
      </c>
      <c r="Z18" s="871">
        <f t="shared" si="11"/>
        <v>0</v>
      </c>
      <c r="AA18" s="871">
        <f t="shared" si="11"/>
        <v>2577</v>
      </c>
      <c r="AB18" s="871">
        <f t="shared" si="11"/>
        <v>341</v>
      </c>
      <c r="AC18" s="871">
        <f t="shared" si="11"/>
        <v>2918</v>
      </c>
      <c r="AD18" s="871">
        <f t="shared" si="11"/>
        <v>0</v>
      </c>
      <c r="AE18" s="875">
        <f t="shared" si="11"/>
        <v>0</v>
      </c>
      <c r="AF18" s="868">
        <f t="shared" si="11"/>
        <v>0</v>
      </c>
      <c r="AG18" s="876">
        <f t="shared" si="11"/>
        <v>0</v>
      </c>
      <c r="AH18" s="873">
        <f t="shared" si="11"/>
        <v>0</v>
      </c>
      <c r="AI18" s="868">
        <f t="shared" si="11"/>
        <v>164</v>
      </c>
      <c r="AJ18" s="870">
        <f t="shared" si="11"/>
        <v>0</v>
      </c>
      <c r="AK18" s="873">
        <f t="shared" si="11"/>
        <v>0</v>
      </c>
      <c r="AL18" s="877">
        <f>IF(ISNUMBER(NºAsuntos!G18/NºAsuntos!E18),NºAsuntos!G18/NºAsuntos!E18," - ")</f>
        <v>0.90817790530846487</v>
      </c>
      <c r="AM18" s="877">
        <f>IF(ISNUMBER(((NºAsuntos!I18/NºAsuntos!G18)*11)/factor_trimestre),((NºAsuntos!I18/NºAsuntos!G18)*11)/factor_trimestre," - ")</f>
        <v>6.1066350710900474</v>
      </c>
      <c r="AN18" s="878">
        <f>IF(ISNUMBER('Resol  Asuntos'!D18/NºAsuntos!G18),'Resol  Asuntos'!D18/NºAsuntos!G18," - ")</f>
        <v>0.12954186413902052</v>
      </c>
      <c r="AO18" s="879">
        <f>IF(ISNUMBER((NºAsuntos!C18+NºAsuntos!E18)/NºAsuntos!G18),(NºAsuntos!C18+NºAsuntos!E18)/NºAsuntos!G18," - ")</f>
        <v>3.3048973143759874</v>
      </c>
      <c r="AP18" s="880" t="str">
        <f t="shared" si="2"/>
        <v xml:space="preserve"> - </v>
      </c>
      <c r="AQ18" s="880">
        <f>IF(ISNUMBER((H18-W18+K18)/(F18)),(H18-W18+K18)/(F18)," - ")</f>
        <v>-0.53485424588086183</v>
      </c>
      <c r="AR18" s="881">
        <f>IF(ISNUMBER((Datos!P18-Datos!Q18)/(Datos!R18-Datos!P18+Datos!Q18)),(Datos!P18-Datos!Q18)/(Datos!R18-Datos!P18+Datos!Q18)," - ")</f>
        <v>0.14046822742474915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2405</v>
      </c>
      <c r="G19" s="824">
        <f t="shared" si="13"/>
        <v>2828</v>
      </c>
      <c r="H19" s="823">
        <f t="shared" si="13"/>
        <v>0</v>
      </c>
      <c r="I19" s="825">
        <f t="shared" si="13"/>
        <v>0</v>
      </c>
      <c r="J19" s="825">
        <f t="shared" si="13"/>
        <v>0</v>
      </c>
      <c r="K19" s="884">
        <f t="shared" si="13"/>
        <v>0</v>
      </c>
      <c r="L19" s="825">
        <f t="shared" si="13"/>
        <v>398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1268</v>
      </c>
      <c r="X19" s="824">
        <f t="shared" si="14"/>
        <v>237</v>
      </c>
      <c r="Y19" s="831">
        <f t="shared" si="14"/>
        <v>1505</v>
      </c>
      <c r="Z19" s="831">
        <f t="shared" si="14"/>
        <v>0</v>
      </c>
      <c r="AA19" s="831">
        <f t="shared" si="14"/>
        <v>2619</v>
      </c>
      <c r="AB19" s="831">
        <f t="shared" si="14"/>
        <v>6158</v>
      </c>
      <c r="AC19" s="831">
        <f t="shared" si="14"/>
        <v>2984</v>
      </c>
      <c r="AD19" s="831">
        <f t="shared" si="14"/>
        <v>0</v>
      </c>
      <c r="AE19" s="833">
        <f t="shared" si="14"/>
        <v>0</v>
      </c>
      <c r="AF19" s="834">
        <f t="shared" si="14"/>
        <v>0</v>
      </c>
      <c r="AG19" s="835">
        <f t="shared" si="14"/>
        <v>0</v>
      </c>
      <c r="AH19" s="833">
        <f t="shared" si="14"/>
        <v>0</v>
      </c>
      <c r="AI19" s="823">
        <f t="shared" si="14"/>
        <v>376</v>
      </c>
      <c r="AJ19" s="823">
        <f t="shared" si="14"/>
        <v>0</v>
      </c>
      <c r="AK19" s="833">
        <f t="shared" si="14"/>
        <v>0</v>
      </c>
      <c r="AL19" s="887">
        <f>IF(ISNUMBER(NºAsuntos!G19/NºAsuntos!E19),NºAsuntos!G19/NºAsuntos!E19," - ")</f>
        <v>0.83132530120481929</v>
      </c>
      <c r="AM19" s="888">
        <f>IF(ISNUMBER(((NºAsuntos!I19/NºAsuntos!G19)*11)/factor_trimestre),((NºAsuntos!I19/NºAsuntos!G19)*11)/factor_trimestre," - ")</f>
        <v>9.009222661396576</v>
      </c>
      <c r="AN19" s="888">
        <f>IF(ISNUMBER('Resol  Asuntos'!D19/NºAsuntos!G19),'Resol  Asuntos'!D19/NºAsuntos!G19," - ")</f>
        <v>0.16512955643390426</v>
      </c>
      <c r="AO19" s="889">
        <f>IF(ISNUMBER((NºAsuntos!C19+NºAsuntos!E19)/NºAsuntos!G19),(NºAsuntos!C19+NºAsuntos!E19)/NºAsuntos!G19," - ")</f>
        <v>4.1203337725076858</v>
      </c>
      <c r="AP19" s="890" t="str">
        <f t="shared" si="2"/>
        <v xml:space="preserve"> - </v>
      </c>
      <c r="AQ19" s="891">
        <f>IF(OR(ISNUMBER(FIND("01",Criterios!A8,1)),ISNUMBER(FIND("02",Criterios!A8,1)),ISNUMBER(FIND("03",Criterios!A8,1)),ISNUMBER(FIND("04",Criterios!A8,1))),(I19-W19+K19)/(F19-K19),(H19-W19+K19)/(F19-K19))</f>
        <v>-0.52723492723492726</v>
      </c>
      <c r="AR19" s="892">
        <f>IF(ISNUMBER((Datos!P19-Datos!Q19)/(Datos!R19-Datos!P19+Datos!Q19)),(Datos!P19-Datos!Q19)/(Datos!R19-Datos!P19+Datos!Q19)," - ")</f>
        <v>2.6846756711689179E-2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1131.2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2.6352313834736494</v>
      </c>
      <c r="F21" s="255">
        <f>IF(ISNUMBER(STDEV(F8:F18)),STDEV(F8:F18),"-")</f>
        <v>1344.6487769426383</v>
      </c>
      <c r="G21" s="256">
        <f>IF(ISNUMBER(STDEV(G8:G18)),STDEV(G8:G18),"-")</f>
        <v>1477.2363385728095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635.5872874751351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92.285787999380844</v>
      </c>
      <c r="AJ21" s="255">
        <f t="shared" si="18"/>
        <v>0</v>
      </c>
      <c r="AK21" s="257">
        <f t="shared" si="18"/>
        <v>0</v>
      </c>
      <c r="AL21" s="252">
        <f t="shared" si="18"/>
        <v>0.23390778518585087</v>
      </c>
      <c r="AM21" s="253">
        <f t="shared" si="18"/>
        <v>22.847349918457901</v>
      </c>
      <c r="AN21" s="253">
        <f t="shared" si="18"/>
        <v>0.34240065240071504</v>
      </c>
      <c r="AO21" s="254">
        <f t="shared" si="18"/>
        <v>7.5696118415578066</v>
      </c>
      <c r="AP21" s="294" t="str">
        <f t="shared" si="18"/>
        <v>-</v>
      </c>
      <c r="AQ21" s="295">
        <f t="shared" si="18"/>
        <v>0.34098291783053514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pC8bH/8YbynheX9MDYG2l8BFunZ8f0lvydVKtb9/EGuUAnbmBcyI4D8gvEWFa8I1h5FS/zCOgbJ6FoOveb68yQ==" saltValue="tc1UkrfZE/b9cSbg2dIk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CASTELLON-CASTELLO</v>
      </c>
      <c r="E3" s="266"/>
    </row>
    <row r="4" spans="2:20" ht="17.25" customHeight="1" thickBot="1">
      <c r="D4" s="265" t="str">
        <f>Criterios!A11 &amp;"  "&amp;Criterios!B11</f>
        <v>Resumenes por Partidos Judiciales  VINARÒS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v>
      </c>
      <c r="E10" s="351">
        <f>IF(ISNUMBER((Datos!J10-Datos!T10)/Datos!T10),(Datos!J10-Datos!T10)/Datos!T10," - ")</f>
        <v>0.2</v>
      </c>
      <c r="F10" s="351">
        <f>IF(ISNUMBER((Datos!K10-Datos!U10)/Datos!U10),(Datos!K10-Datos!U10)/Datos!U10," - ")</f>
        <v>-0.33333333333333331</v>
      </c>
      <c r="G10" s="352">
        <f>IF(ISNUMBER((Datos!L10-Datos!V10)/Datos!V10),(Datos!L10-Datos!V10)/Datos!V10," - ")</f>
        <v>1</v>
      </c>
      <c r="H10" s="233">
        <f>IF(ISNUMBER((Datos!M10-Datos!W10)/Datos!W10),(Datos!M10-Datos!W10)/Datos!W10," - ")</f>
        <v>1</v>
      </c>
      <c r="I10" s="353">
        <f>IF(ISNUMBER((Tasas!C10-Datos!BE10)/Datos!BE10),(Tasas!C10-Datos!BE10)/Datos!BE10," - ")</f>
        <v>2</v>
      </c>
      <c r="J10" s="352">
        <f>IF(ISNUMBER((Tasas!D10-Datos!BF10)/Datos!BF10),(Tasas!D10-Datos!BF10)/Datos!BF10," - ")</f>
        <v>2.0000000000000004</v>
      </c>
      <c r="K10" s="354">
        <f>IF(ISNUMBER((Tasas!E10-Datos!BG10)/Datos!BG10),(Tasas!E10-Datos!BG10)/Datos!BG10," - ")</f>
        <v>1.75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-0.16996047430830039</v>
      </c>
      <c r="I12" s="353">
        <f>IF(ISNUMBER((Tasas!C12-Datos!BE12)/Datos!BE12),(Tasas!C12-Datos!BE12)/Datos!BE12," - ")</f>
        <v>0.7245188781195232</v>
      </c>
      <c r="J12" s="352">
        <f>IF(ISNUMBER((Tasas!D12-Datos!BF12)/Datos!BF12),(Tasas!D12-Datos!BF12)/Datos!BF12," - ")</f>
        <v>-0.44863166981041586</v>
      </c>
      <c r="K12" s="354">
        <f>IF(ISNUMBER((Tasas!E12-Datos!BG12)/Datos!BG12),(Tasas!E12-Datos!BG12)/Datos!BG12," - ")</f>
        <v>0.39774020487829459</v>
      </c>
      <c r="M12" t="e">
        <f>IF(Monitorios="SI",Datos!CE12,0)</f>
        <v>#REF!</v>
      </c>
      <c r="N12" t="e">
        <f>IF(Monitorios="SI",Datos!CF12,0)</f>
        <v>#REF!</v>
      </c>
      <c r="O12" t="e">
        <f>IF(Monitorios="SI",Datos!CG12,0)</f>
        <v>#REF!</v>
      </c>
      <c r="P12" t="e">
        <f>IF(Monitorios="SI",Datos!CH12,0)</f>
        <v>#REF!</v>
      </c>
      <c r="Q12">
        <f>IF(J_V="SI",0,Datos!AG12)</f>
        <v>85</v>
      </c>
      <c r="R12">
        <f>IF(J_V="SI",0,Datos!AH12)</f>
        <v>117</v>
      </c>
      <c r="S12">
        <f>IF(J_V="SI",0,Datos!AI12)</f>
        <v>127</v>
      </c>
      <c r="T12">
        <f>IF(J_V="SI",0,Datos!AJ12)</f>
        <v>75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-0.16535433070866143</v>
      </c>
      <c r="I13" s="360">
        <f>IF(ISNUMBER((Tasas!C13-Datos!BE13)/Datos!BE13),(Tasas!C13-Datos!BE13)/Datos!BE13," - ")</f>
        <v>0.73080122395464664</v>
      </c>
      <c r="J13" s="358">
        <f>IF(ISNUMBER((Tasas!D13-Datos!BF13)/Datos!BF13),(Tasas!D13-Datos!BF13)/Datos!BF13," - ")</f>
        <v>-0.44433365773274658</v>
      </c>
      <c r="K13" s="361">
        <f>IF(ISNUMBER((Tasas!E13-Datos!BG13)/Datos!BG13),(Tasas!E13-Datos!BG13)/Datos!BG13," - ")</f>
        <v>0.40308369231450314</v>
      </c>
      <c r="M13" t="e">
        <f>IF(Monitorios="SI",Datos!CE13,0)</f>
        <v>#REF!</v>
      </c>
      <c r="N13" t="e">
        <f>IF(Monitorios="SI",Datos!CF13,0)</f>
        <v>#REF!</v>
      </c>
      <c r="O13" t="e">
        <f>IF(Monitorios="SI",Datos!CG13,0)</f>
        <v>#REF!</v>
      </c>
      <c r="P13" t="e">
        <f>IF(Monitorios="SI",Datos!CH13,0)</f>
        <v>#REF!</v>
      </c>
      <c r="Q13">
        <f>IF(J_V="SI",0,Datos!AG13)</f>
        <v>85</v>
      </c>
      <c r="R13">
        <f>IF(J_V="SI",0,Datos!AH13)</f>
        <v>117</v>
      </c>
      <c r="S13">
        <f>IF(J_V="SI",0,Datos!AI13)</f>
        <v>127</v>
      </c>
      <c r="T13">
        <f>IF(J_V="SI",0,Datos!AJ13)</f>
        <v>75</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6.6141732283464566E-2</v>
      </c>
      <c r="E16" s="351">
        <f>IF(ISNUMBER(
   IF(D_I="SI",(Datos!J16-Datos!T16)/Datos!T16,(Datos!J16+Datos!AD16-(Datos!T16+Datos!AL16))/(Datos!T16+Datos!AL16))
     ),IF(D_I="SI",(Datos!J16-Datos!T16)/Datos!T16,(Datos!J16+Datos!AD16-(Datos!T16+Datos!AL16))/(Datos!T16+Datos!AL16))," - ")</f>
        <v>2.1103896103896104E-2</v>
      </c>
      <c r="F16" s="351">
        <f>IF(ISNUMBER(
   IF(D_I="SI",(Datos!K16-Datos!U16)/Datos!U16,(Datos!K16+Datos!AE16-(Datos!U16+Datos!AM16))/(Datos!U16+Datos!AM16))
     ),IF(D_I="SI",(Datos!K16-Datos!U16)/Datos!U16,(Datos!K16+Datos!AE16-(Datos!U16+Datos!AM16))/(Datos!U16+Datos!AM16))," - ")</f>
        <v>0.11198428290766209</v>
      </c>
      <c r="G16" s="352">
        <f>IF(ISNUMBER(
   IF(D_I="SI",(Datos!L16-Datos!V16)/Datos!V16,(Datos!L16+Datos!AF16-(Datos!V16+Datos!AN16))/(Datos!V16+Datos!AN16))
     ),IF(D_I="SI",(Datos!L16-Datos!V16)/Datos!V16,(Datos!L16+Datos!AF16-(Datos!V16+Datos!AN16))/(Datos!V16+Datos!AN16))," - ")</f>
        <v>-5.8534743202416917E-2</v>
      </c>
      <c r="H16" s="233">
        <f>IF(ISNUMBER((Datos!M16-Datos!W16)/Datos!W16),(Datos!M16-Datos!W16)/Datos!W16," - ")</f>
        <v>-0.21857923497267759</v>
      </c>
      <c r="I16" s="353">
        <f>IF(ISNUMBER((Tasas!C16-Datos!BE16)/Datos!BE16),(Tasas!C16-Datos!BE16)/Datos!BE16," - ")</f>
        <v>-0.15334661535341029</v>
      </c>
      <c r="J16" s="352">
        <f>IF(ISNUMBER((Tasas!D16-Datos!BF16)/Datos!BF16),(Tasas!D16-Datos!BF16)/Datos!BF16," - ")</f>
        <v>-0.29727355229875063</v>
      </c>
      <c r="K16" s="354">
        <f>IF(ISNUMBER((Tasas!E16-Datos!BG16)/Datos!BG16),(Tasas!E16-Datos!BG16)/Datos!BG16," - ")</f>
        <v>-5.4454620057031729E-2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3.1</v>
      </c>
      <c r="E17" s="351">
        <f>IF(ISNUMBER(
   IF(D_I="SI",(Datos!J17-Datos!T17)/Datos!T17,(Datos!J17+Datos!AD17-(Datos!T17+Datos!AL17))/(Datos!T17+Datos!AL17))
     ),IF(D_I="SI",(Datos!J17-Datos!T17)/Datos!T17,(Datos!J17+Datos!AD17-(Datos!T17+Datos!AL17))/(Datos!T17+Datos!AL17))," - ")</f>
        <v>0.78947368421052633</v>
      </c>
      <c r="F17" s="351">
        <f>IF(ISNUMBER(
   IF(D_I="SI",(Datos!K17-Datos!U17)/Datos!U17,(Datos!K17+Datos!AE17-(Datos!U17+Datos!AM17))/(Datos!U17+Datos!AM17))
     ),IF(D_I="SI",(Datos!K17-Datos!U17)/Datos!U17,(Datos!K17+Datos!AE17-(Datos!U17+Datos!AM17))/(Datos!U17+Datos!AM17))," - ")</f>
        <v>0.97058823529411764</v>
      </c>
      <c r="G17" s="352">
        <f>IF(ISNUMBER(
   IF(D_I="SI",(Datos!L17-Datos!V17)/Datos!V17,(Datos!L17+Datos!AF17-(Datos!V17+Datos!AN17))/(Datos!V17+Datos!AN17))
     ),IF(D_I="SI",(Datos!L17-Datos!V17)/Datos!V17,(Datos!L17+Datos!AF17-(Datos!V17+Datos!AN17))/(Datos!V17+Datos!AN17))," - ")</f>
        <v>1.896551724137931</v>
      </c>
      <c r="H17" s="233">
        <f>IF(ISNUMBER((Datos!M17-Datos!W17)/Datos!W17),(Datos!M17-Datos!W17)/Datos!W17," - ")</f>
        <v>0.3125</v>
      </c>
      <c r="I17" s="353">
        <f>IF(ISNUMBER((Tasas!C17-Datos!BE17)/Datos!BE17),(Tasas!C17-Datos!BE17)/Datos!BE17," - ")</f>
        <v>0.46989191971178601</v>
      </c>
      <c r="J17" s="352">
        <f>IF(ISNUMBER((Tasas!D17-Datos!BF17)/Datos!BF17),(Tasas!D17-Datos!BF17)/Datos!BF17," - ")</f>
        <v>-0.33395522388059695</v>
      </c>
      <c r="K17" s="354">
        <f>IF(ISNUMBER((Tasas!E17-Datos!BG17)/Datos!BG17),(Tasas!E17-Datos!BG17)/Datos!BG17," - ")</f>
        <v>0.15236318407960195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8.984375E-2</v>
      </c>
      <c r="E18" s="357">
        <f>IF(ISNUMBER(
   IF(D_I="SI",(Datos!J18-Datos!T18)/Datos!T18,(Datos!J18+Datos!AD18-(Datos!T18+Datos!AL18))/(Datos!T18+Datos!AL18))
     ),IF(D_I="SI",(Datos!J18-Datos!T18)/Datos!T18,(Datos!J18+Datos!AD18-(Datos!T18+Datos!AL18))/(Datos!T18+Datos!AL18))," - ")</f>
        <v>6.5749235474006115E-2</v>
      </c>
      <c r="F18" s="357">
        <f>IF(ISNUMBER(
   IF(D_I="SI",(Datos!K18-Datos!U18)/Datos!U18,(Datos!K18+Datos!AE18-(Datos!U18+Datos!AM18))/(Datos!U18+Datos!AM18))
     ),IF(D_I="SI",(Datos!K18-Datos!U18)/Datos!U18,(Datos!K18+Datos!AE18-(Datos!U18+Datos!AM18))/(Datos!U18+Datos!AM18))," - ")</f>
        <v>0.16574585635359115</v>
      </c>
      <c r="G18" s="358">
        <f>IF(ISNUMBER(
   IF(D_I="SI",(Datos!L18-Datos!V18)/Datos!V18,(Datos!L18+Datos!AF18-(Datos!V18+Datos!AN18))/(Datos!V18+Datos!AN18))
     ),IF(D_I="SI",(Datos!L18-Datos!V18)/Datos!V18,(Datos!L18+Datos!AF18-(Datos!V18+Datos!AN18))/(Datos!V18+Datos!AN18))," - ")</f>
        <v>-3.735524841240194E-2</v>
      </c>
      <c r="H18" s="359">
        <f>IF(ISNUMBER((Datos!M18-Datos!W18)/Datos!W18),(Datos!M18-Datos!W18)/Datos!W18," - ")</f>
        <v>-0.17587939698492464</v>
      </c>
      <c r="I18" s="360">
        <f>IF(ISNUMBER((Tasas!C18-Datos!BE18)/Datos!BE18),(Tasas!C18-Datos!BE18)/Datos!BE18," - ")</f>
        <v>-0.17422417043907476</v>
      </c>
      <c r="J18" s="358">
        <f>IF(ISNUMBER((Tasas!D18-Datos!BF18)/Datos!BF18),(Tasas!D18-Datos!BF18)/Datos!BF18," - ")</f>
        <v>-0.29305294243730512</v>
      </c>
      <c r="K18" s="361">
        <f>IF(ISNUMBER((Tasas!E18-Datos!BG18)/Datos!BG18),(Tasas!E18-Datos!BG18)/Datos!BG18," - ")</f>
        <v>-7.2099668197434755E-2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9.6747564801056632E-2</v>
      </c>
      <c r="E19" s="366">
        <f>IF(ISNUMBER(
   IF(J_V="SI",(Datos!J19-Datos!T19)/Datos!T19,(Datos!J19+Datos!Z19-(Datos!T19+Datos!AH19))/(Datos!T19+Datos!AH19))
     ),IF(J_V="SI",(Datos!J19-Datos!T19)/Datos!T19,(Datos!J19+Datos!Z19-(Datos!T19+Datos!AH19))/(Datos!T19+Datos!AH19))," - ")</f>
        <v>3.8680318543799774E-2</v>
      </c>
      <c r="F19" s="366">
        <f>IF(ISNUMBER(
   IF(J_V="SI",(Datos!K19-Datos!U19)/Datos!U19,(Datos!K19+Datos!AA19-(Datos!U19+Datos!AI19))/(Datos!U19+Datos!AI19))
     ),IF(J_V="SI",(Datos!K19-Datos!U19)/Datos!U19,(Datos!K19+Datos!AA19-(Datos!U19+Datos!AI19))/(Datos!U19+Datos!AI19))," - ")</f>
        <v>-5.2434456928838954E-2</v>
      </c>
      <c r="G19" s="367">
        <f>IF(ISNUMBER(
   IF(J_V="SI",(Datos!L19-Datos!V19)/Datos!V19,(Datos!L19+Datos!AB19-(Datos!V19+Datos!AJ19))/(Datos!V19+Datos!AJ19))
     ),IF(J_V="SI",(Datos!L19-Datos!V19)/Datos!V19,(Datos!L19+Datos!AB19-(Datos!V19+Datos!AJ19))/(Datos!V19+Datos!AJ19))," - ")</f>
        <v>0.16213460231135282</v>
      </c>
      <c r="H19" s="368">
        <f>IF(ISNUMBER((Datos!M19-Datos!W19)/Datos!W19),(Datos!M19-Datos!W19)/Datos!W19," - ")</f>
        <v>-0.16997792494481237</v>
      </c>
      <c r="I19" s="365">
        <f>IF(ISNUMBER((Tasas!C19-Datos!BE19)/Datos!BE19),(Tasas!C19-Datos!BE19)/Datos!BE19," - ")</f>
        <v>0.22644244591751467</v>
      </c>
      <c r="J19" s="366">
        <f>IF(ISNUMBER((Tasas!D19-Datos!BF19)/Datos!BF19),(Tasas!D19-Datos!BF19)/Datos!BF19," - ")</f>
        <v>-0.42987597110535641</v>
      </c>
      <c r="K19" s="367">
        <f>IF(ISNUMBER((Tasas!E19-Datos!BG19)/Datos!BG19),(Tasas!E19-Datos!BG19)/Datos!BG19," - ")</f>
        <v>0.13885001786703119</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1.4252594526157472</v>
      </c>
      <c r="E21" s="281">
        <f t="shared" si="1"/>
        <v>0.35516061195878112</v>
      </c>
      <c r="F21" s="281">
        <f t="shared" si="1"/>
        <v>0.5427907502602225</v>
      </c>
      <c r="G21" s="282">
        <f t="shared" si="1"/>
        <v>0.93822592127757176</v>
      </c>
      <c r="H21" s="288">
        <f t="shared" si="1"/>
        <v>0.48497428190513237</v>
      </c>
      <c r="I21" s="280">
        <f t="shared" si="1"/>
        <v>0.79705649554023061</v>
      </c>
      <c r="J21" s="281">
        <f t="shared" si="1"/>
        <v>0.96735867367997952</v>
      </c>
      <c r="K21" s="282">
        <f t="shared" si="1"/>
        <v>0.67941825844956982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W9xXnGmKC6Ighf7D3laSEmP3F/vokKHNhOFoaSOhRegNrboaXA7XCw4BabTdZ/2e1lxMCFhh5LQBFWnoAUhq4g==" saltValue="4zoThwP5xKFPbDd2cRcNH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